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natia\Desktop\პროაქტიული 2\"/>
    </mc:Choice>
  </mc:AlternateContent>
  <xr:revisionPtr revIDLastSave="0" documentId="13_ncr:1_{577151E2-8A40-42F4-AAE6-1DDB9E6FB48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5 წლის კულტურა (2)" sheetId="3" r:id="rId1"/>
  </sheets>
  <externalReferences>
    <externalReference r:id="rId2"/>
    <externalReference r:id="rId3"/>
    <externalReference r:id="rId4"/>
    <externalReference r:id="rId5"/>
  </externalReferences>
  <definedNames>
    <definedName name="aq">[1]НДС!$X$4:$AA$4</definedName>
    <definedName name="bbbbb">[2]реестри!$F$62</definedName>
    <definedName name="cek" localSheetId="0">#REF!</definedName>
    <definedName name="cek">#REF!</definedName>
    <definedName name="charbi" localSheetId="0">#REF!</definedName>
    <definedName name="charbi">#REF!</definedName>
    <definedName name="cul" localSheetId="0">#REF!</definedName>
    <definedName name="cul">#REF!</definedName>
    <definedName name="dfgdfh" localSheetId="0">#REF!</definedName>
    <definedName name="dfgdfh">#REF!</definedName>
    <definedName name="dfgfd" localSheetId="0">#REF!</definedName>
    <definedName name="dfgfd">#REF!</definedName>
    <definedName name="dfghfgh" localSheetId="0">#REF!</definedName>
    <definedName name="dfghfgh">#REF!</definedName>
    <definedName name="dfgsdf" localSheetId="0">#REF!</definedName>
    <definedName name="dfgsdf">#REF!</definedName>
    <definedName name="djaami" localSheetId="0">#REF!</definedName>
    <definedName name="djaami">#REF!</definedName>
    <definedName name="djam" localSheetId="0">#REF!</definedName>
    <definedName name="djam">#REF!</definedName>
    <definedName name="djanmrte" localSheetId="0">#REF!</definedName>
    <definedName name="djanmrte">#REF!</definedName>
    <definedName name="djjjami" localSheetId="0">#REF!</definedName>
    <definedName name="djjjami">#REF!</definedName>
    <definedName name="fgh" localSheetId="0">#REF!</definedName>
    <definedName name="fgh">#REF!</definedName>
    <definedName name="fhjjjh" localSheetId="0">#REF!</definedName>
    <definedName name="fhjjjh">#REF!</definedName>
    <definedName name="finansta" localSheetId="0">#REF!</definedName>
    <definedName name="finansta">#REF!</definedName>
    <definedName name="forma" localSheetId="0">[3]ФОРМА!#REF!</definedName>
    <definedName name="forma">[3]ФОРМА!#REF!</definedName>
    <definedName name="gard" localSheetId="0">#REF!</definedName>
    <definedName name="gard">#REF!</definedName>
    <definedName name="Garemo" localSheetId="0">#REF!</definedName>
    <definedName name="Garemo">#REF!</definedName>
    <definedName name="Infrastruqtura" localSheetId="0">#REF!</definedName>
    <definedName name="Infrastruqtura">#REF!</definedName>
    <definedName name="iu" localSheetId="0">#REF!</definedName>
    <definedName name="iu">#REF!</definedName>
    <definedName name="JAMI" localSheetId="0">#REF!</definedName>
    <definedName name="JAMI">#REF!</definedName>
    <definedName name="Jand_program" localSheetId="0">#REF!</definedName>
    <definedName name="Jand_program">#REF!</definedName>
    <definedName name="jandacva" localSheetId="0">#REF!</definedName>
    <definedName name="jandacva">#REF!</definedName>
    <definedName name="jlhkj" localSheetId="0">#REF!</definedName>
    <definedName name="jlhkj">#REF!</definedName>
    <definedName name="kapit" localSheetId="0">#REF!</definedName>
    <definedName name="kapit">#REF!</definedName>
    <definedName name="kapm" localSheetId="0">#REF!</definedName>
    <definedName name="kapm">#REF!</definedName>
    <definedName name="khgj" localSheetId="0">#REF!</definedName>
    <definedName name="khgj">#REF!</definedName>
    <definedName name="kultura" localSheetId="0">#REF!</definedName>
    <definedName name="kultura">#REF!</definedName>
    <definedName name="l" localSheetId="0">#REF!</definedName>
    <definedName name="l">#REF!</definedName>
    <definedName name="Mtavroba" localSheetId="0">#REF!</definedName>
    <definedName name="Mtavroba">#REF!</definedName>
    <definedName name="MVD" localSheetId="0">#REF!</definedName>
    <definedName name="MVD">#REF!</definedName>
    <definedName name="nm" localSheetId="0">#REF!</definedName>
    <definedName name="nm">#REF!</definedName>
    <definedName name="Organisation" localSheetId="0">#REF!</definedName>
    <definedName name="Organisation">#REF!</definedName>
    <definedName name="po" localSheetId="0">#REF!</definedName>
    <definedName name="po">#REF!</definedName>
    <definedName name="pp" localSheetId="0">#REF!</definedName>
    <definedName name="pp">#REF!</definedName>
    <definedName name="Print" localSheetId="0">#REF!</definedName>
    <definedName name="Print">#REF!</definedName>
    <definedName name="razmi" localSheetId="0">#REF!</definedName>
    <definedName name="razmi">#REF!</definedName>
    <definedName name="rftjh" localSheetId="0">#REF!</definedName>
    <definedName name="rftjh">#REF!</definedName>
    <definedName name="rty" localSheetId="0">#REF!</definedName>
    <definedName name="rty">#REF!</definedName>
    <definedName name="rtyrtujh" localSheetId="0">#REF!</definedName>
    <definedName name="rtyrtujh">#REF!</definedName>
    <definedName name="sabinao" localSheetId="0">#REF!</definedName>
    <definedName name="sabinao">#REF!</definedName>
    <definedName name="Sofeli" localSheetId="0">#REF!</definedName>
    <definedName name="Sofeli">#REF!</definedName>
    <definedName name="sul" localSheetId="0">#REF!</definedName>
    <definedName name="sul">#REF!</definedName>
    <definedName name="svadasxva" localSheetId="0">#REF!</definedName>
    <definedName name="svadasxva">#REF!</definedName>
    <definedName name="tele" localSheetId="0">#REF!</definedName>
    <definedName name="tele">#REF!</definedName>
    <definedName name="Transferti" localSheetId="0">#REF!</definedName>
    <definedName name="Transferti">#REF!</definedName>
    <definedName name="uShiSh" localSheetId="0">#REF!</definedName>
    <definedName name="uShiSh">#REF!</definedName>
    <definedName name="xfgu" localSheetId="0">#REF!</definedName>
    <definedName name="xfgu">#REF!</definedName>
    <definedName name="гардамавали" localSheetId="0">#REF!</definedName>
    <definedName name="гардамавали">#REF!</definedName>
    <definedName name="дата" localSheetId="0">#REF!</definedName>
    <definedName name="дата">#REF!</definedName>
    <definedName name="дж" localSheetId="0">#REF!</definedName>
    <definedName name="дж">#REF!</definedName>
    <definedName name="джами" localSheetId="0">#REF!</definedName>
    <definedName name="джами">#REF!</definedName>
    <definedName name="джамртелоба" localSheetId="0">#REF!</definedName>
    <definedName name="джамртелоба">#REF!</definedName>
    <definedName name="_xlnm.Print_Titles" localSheetId="0">'2025 წლის კულტურა (2)'!$3:$4</definedName>
    <definedName name="итоги">[1]НДС!$H$2</definedName>
    <definedName name="капиталури" localSheetId="0">#REF!</definedName>
    <definedName name="капиталури">#REF!</definedName>
    <definedName name="КАПМШ" localSheetId="0">#REF!</definedName>
    <definedName name="КАПМШ">#REF!</definedName>
    <definedName name="КОДИ" localSheetId="0">#REF!</definedName>
    <definedName name="КОДИ">#REF!</definedName>
    <definedName name="култура" localSheetId="0">#REF!</definedName>
    <definedName name="култура">#REF!</definedName>
    <definedName name="м" localSheetId="0">#REF!</definedName>
    <definedName name="м">#REF!</definedName>
    <definedName name="_xlnm.Print_Area" localSheetId="0">'2025 წლის კულტურა (2)'!$A$1:$L$334</definedName>
    <definedName name="РАЗМИ" localSheetId="0">#REF!</definedName>
    <definedName name="РАЗМИ">#REF!</definedName>
    <definedName name="с3">[1]НДС!$D$3</definedName>
    <definedName name="сабинао" localSheetId="0">#REF!</definedName>
    <definedName name="сабинао">#REF!</definedName>
    <definedName name="сссс" localSheetId="0">#REF!</definedName>
    <definedName name="сссс">#REF!</definedName>
    <definedName name="сул" localSheetId="0">#REF!</definedName>
    <definedName name="сул">#REF!</definedName>
    <definedName name="ТЕЛЕ" localSheetId="0">#REF!</definedName>
    <definedName name="ТЕЛЕ">#REF!</definedName>
    <definedName name="трансф" localSheetId="0">#REF!</definedName>
    <definedName name="трансф">#REF!</definedName>
    <definedName name="УШИШ" localSheetId="0">#REF!</definedName>
    <definedName name="УШИШ">#REF!</definedName>
    <definedName name="ф" localSheetId="0">#REF!</definedName>
    <definedName name="ф">#REF!</definedName>
    <definedName name="фв2">[1]НДС!$C$2</definedName>
    <definedName name="Форма" localSheetId="0">[4]ФОРМА!#REF!</definedName>
    <definedName name="Форма">[4]ФОРМА!#REF!</definedName>
    <definedName name="ЧАРБИ" localSheetId="0">#REF!</definedName>
    <definedName name="ЧАРБИ">#REF!</definedName>
    <definedName name="მზიკო" localSheetId="0">#REF!</definedName>
    <definedName name="მზიკო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3" l="1"/>
  <c r="D19" i="3"/>
  <c r="E19" i="3"/>
  <c r="F19" i="3"/>
  <c r="D28" i="3"/>
  <c r="E28" i="3"/>
  <c r="F28" i="3"/>
  <c r="D29" i="3"/>
  <c r="D7" i="3" s="1"/>
  <c r="E29" i="3"/>
  <c r="F29" i="3"/>
  <c r="D31" i="3"/>
  <c r="E31" i="3"/>
  <c r="F31" i="3"/>
  <c r="D32" i="3"/>
  <c r="E32" i="3"/>
  <c r="D33" i="3"/>
  <c r="E33" i="3"/>
  <c r="F33" i="3"/>
  <c r="D34" i="3"/>
  <c r="E34" i="3"/>
  <c r="F34" i="3"/>
  <c r="D35" i="3"/>
  <c r="E35" i="3"/>
  <c r="E13" i="3" s="1"/>
  <c r="F35" i="3"/>
  <c r="D36" i="3"/>
  <c r="E36" i="3"/>
  <c r="F36" i="3"/>
  <c r="D37" i="3"/>
  <c r="E37" i="3"/>
  <c r="F37" i="3"/>
  <c r="C41" i="3"/>
  <c r="C38" i="3" s="1"/>
  <c r="D41" i="3"/>
  <c r="D30" i="3" s="1"/>
  <c r="E41" i="3"/>
  <c r="E38" i="3" s="1"/>
  <c r="F43" i="3"/>
  <c r="F32" i="3" s="1"/>
  <c r="D52" i="3"/>
  <c r="D49" i="3" s="1"/>
  <c r="E52" i="3"/>
  <c r="E49" i="3" s="1"/>
  <c r="F52" i="3"/>
  <c r="F49" i="3" s="1"/>
  <c r="D63" i="3"/>
  <c r="D60" i="3" s="1"/>
  <c r="E63" i="3"/>
  <c r="E60" i="3" s="1"/>
  <c r="F63" i="3"/>
  <c r="F60" i="3" s="1"/>
  <c r="D74" i="3"/>
  <c r="D71" i="3" s="1"/>
  <c r="E74" i="3"/>
  <c r="E71" i="3" s="1"/>
  <c r="F74" i="3"/>
  <c r="F71" i="3" s="1"/>
  <c r="D85" i="3"/>
  <c r="D82" i="3" s="1"/>
  <c r="E85" i="3"/>
  <c r="E82" i="3" s="1"/>
  <c r="F85" i="3"/>
  <c r="F82" i="3" s="1"/>
  <c r="C94" i="3"/>
  <c r="D94" i="3"/>
  <c r="E94" i="3"/>
  <c r="F94" i="3"/>
  <c r="C95" i="3"/>
  <c r="D95" i="3"/>
  <c r="E95" i="3"/>
  <c r="F95" i="3"/>
  <c r="C97" i="3"/>
  <c r="D97" i="3"/>
  <c r="E97" i="3"/>
  <c r="C98" i="3"/>
  <c r="D98" i="3"/>
  <c r="E98" i="3"/>
  <c r="C99" i="3"/>
  <c r="D99" i="3"/>
  <c r="E99" i="3"/>
  <c r="F99" i="3"/>
  <c r="C100" i="3"/>
  <c r="D100" i="3"/>
  <c r="E100" i="3"/>
  <c r="F100" i="3"/>
  <c r="C101" i="3"/>
  <c r="D101" i="3"/>
  <c r="E101" i="3"/>
  <c r="F101" i="3"/>
  <c r="C102" i="3"/>
  <c r="D102" i="3"/>
  <c r="E102" i="3"/>
  <c r="F102" i="3"/>
  <c r="C103" i="3"/>
  <c r="D103" i="3"/>
  <c r="E103" i="3"/>
  <c r="F103" i="3"/>
  <c r="C107" i="3"/>
  <c r="C96" i="3" s="1"/>
  <c r="D107" i="3"/>
  <c r="D96" i="3" s="1"/>
  <c r="E107" i="3"/>
  <c r="E96" i="3" s="1"/>
  <c r="F108" i="3"/>
  <c r="F97" i="3" s="1"/>
  <c r="F109" i="3"/>
  <c r="F98" i="3" s="1"/>
  <c r="C118" i="3"/>
  <c r="C115" i="3" s="1"/>
  <c r="D118" i="3"/>
  <c r="D115" i="3" s="1"/>
  <c r="E118" i="3"/>
  <c r="E115" i="3" s="1"/>
  <c r="F118" i="3"/>
  <c r="F115" i="3" s="1"/>
  <c r="C127" i="3"/>
  <c r="C6" i="3" s="1"/>
  <c r="D127" i="3"/>
  <c r="E127" i="3"/>
  <c r="F127" i="3"/>
  <c r="F6" i="3" s="1"/>
  <c r="C128" i="3"/>
  <c r="D128" i="3"/>
  <c r="E128" i="3"/>
  <c r="F128" i="3"/>
  <c r="D130" i="3"/>
  <c r="E130" i="3"/>
  <c r="F130" i="3"/>
  <c r="C131" i="3"/>
  <c r="D131" i="3"/>
  <c r="E131" i="3"/>
  <c r="C132" i="3"/>
  <c r="D132" i="3"/>
  <c r="E132" i="3"/>
  <c r="F132" i="3"/>
  <c r="C133" i="3"/>
  <c r="C12" i="3" s="1"/>
  <c r="D133" i="3"/>
  <c r="E133" i="3"/>
  <c r="F133" i="3"/>
  <c r="C134" i="3"/>
  <c r="D134" i="3"/>
  <c r="E134" i="3"/>
  <c r="F134" i="3"/>
  <c r="C135" i="3"/>
  <c r="C14" i="3" s="1"/>
  <c r="D135" i="3"/>
  <c r="E135" i="3"/>
  <c r="F135" i="3"/>
  <c r="C136" i="3"/>
  <c r="D136" i="3"/>
  <c r="E136" i="3"/>
  <c r="F136" i="3"/>
  <c r="D140" i="3"/>
  <c r="D129" i="3" s="1"/>
  <c r="E140" i="3"/>
  <c r="E129" i="3" s="1"/>
  <c r="C141" i="3"/>
  <c r="C130" i="3" s="1"/>
  <c r="F141" i="3"/>
  <c r="F140" i="3" s="1"/>
  <c r="F129" i="3" s="1"/>
  <c r="C142" i="3"/>
  <c r="F142" i="3"/>
  <c r="F131" i="3" s="1"/>
  <c r="C151" i="3"/>
  <c r="C148" i="3" s="1"/>
  <c r="D151" i="3"/>
  <c r="D148" i="3" s="1"/>
  <c r="E151" i="3"/>
  <c r="E148" i="3" s="1"/>
  <c r="F152" i="3"/>
  <c r="F151" i="3" s="1"/>
  <c r="F148" i="3" s="1"/>
  <c r="F153" i="3"/>
  <c r="C160" i="3"/>
  <c r="D160" i="3"/>
  <c r="E160" i="3"/>
  <c r="F160" i="3"/>
  <c r="C161" i="3"/>
  <c r="D161" i="3"/>
  <c r="E161" i="3"/>
  <c r="F161" i="3"/>
  <c r="C163" i="3"/>
  <c r="D163" i="3"/>
  <c r="E163" i="3"/>
  <c r="D164" i="3"/>
  <c r="E164" i="3"/>
  <c r="C165" i="3"/>
  <c r="D165" i="3"/>
  <c r="E165" i="3"/>
  <c r="F165" i="3"/>
  <c r="C166" i="3"/>
  <c r="D166" i="3"/>
  <c r="E166" i="3"/>
  <c r="F166" i="3"/>
  <c r="C167" i="3"/>
  <c r="D167" i="3"/>
  <c r="E167" i="3"/>
  <c r="F167" i="3"/>
  <c r="C168" i="3"/>
  <c r="D168" i="3"/>
  <c r="E168" i="3"/>
  <c r="F168" i="3"/>
  <c r="D169" i="3"/>
  <c r="E169" i="3"/>
  <c r="F169" i="3"/>
  <c r="C173" i="3"/>
  <c r="D173" i="3"/>
  <c r="E173" i="3"/>
  <c r="F174" i="3"/>
  <c r="F175" i="3"/>
  <c r="G175" i="3" s="1"/>
  <c r="H175" i="3" s="1"/>
  <c r="C180" i="3"/>
  <c r="C169" i="3" s="1"/>
  <c r="D184" i="3"/>
  <c r="D181" i="3" s="1"/>
  <c r="E184" i="3"/>
  <c r="E181" i="3" s="1"/>
  <c r="F185" i="3"/>
  <c r="G185" i="3" s="1"/>
  <c r="C186" i="3"/>
  <c r="C184" i="3" s="1"/>
  <c r="C181" i="3" s="1"/>
  <c r="F186" i="3"/>
  <c r="F184" i="3" s="1"/>
  <c r="F181" i="3" s="1"/>
  <c r="C195" i="3"/>
  <c r="C192" i="3" s="1"/>
  <c r="D195" i="3"/>
  <c r="D192" i="3" s="1"/>
  <c r="E195" i="3"/>
  <c r="E192" i="3" s="1"/>
  <c r="F196" i="3"/>
  <c r="F197" i="3"/>
  <c r="F195" i="3" s="1"/>
  <c r="F192" i="3" s="1"/>
  <c r="C206" i="3"/>
  <c r="C203" i="3" s="1"/>
  <c r="D206" i="3"/>
  <c r="D203" i="3" s="1"/>
  <c r="E206" i="3"/>
  <c r="E203" i="3" s="1"/>
  <c r="F207" i="3"/>
  <c r="F206" i="3" s="1"/>
  <c r="F203" i="3" s="1"/>
  <c r="F208" i="3"/>
  <c r="C217" i="3"/>
  <c r="C214" i="3" s="1"/>
  <c r="D217" i="3"/>
  <c r="D214" i="3" s="1"/>
  <c r="E217" i="3"/>
  <c r="E214" i="3" s="1"/>
  <c r="F219" i="3"/>
  <c r="G219" i="3" s="1"/>
  <c r="H219" i="3" s="1"/>
  <c r="C228" i="3"/>
  <c r="C225" i="3" s="1"/>
  <c r="D228" i="3"/>
  <c r="D225" i="3" s="1"/>
  <c r="E228" i="3"/>
  <c r="E225" i="3" s="1"/>
  <c r="F229" i="3"/>
  <c r="F230" i="3"/>
  <c r="F228" i="3" s="1"/>
  <c r="F225" i="3" s="1"/>
  <c r="C239" i="3"/>
  <c r="C236" i="3" s="1"/>
  <c r="D239" i="3"/>
  <c r="D236" i="3" s="1"/>
  <c r="E239" i="3"/>
  <c r="E236" i="3" s="1"/>
  <c r="F240" i="3"/>
  <c r="G240" i="3" s="1"/>
  <c r="H240" i="3" s="1"/>
  <c r="C248" i="3"/>
  <c r="D248" i="3"/>
  <c r="E248" i="3"/>
  <c r="F248" i="3"/>
  <c r="C249" i="3"/>
  <c r="D249" i="3"/>
  <c r="E249" i="3"/>
  <c r="F249" i="3"/>
  <c r="C251" i="3"/>
  <c r="D251" i="3"/>
  <c r="E251" i="3"/>
  <c r="C252" i="3"/>
  <c r="D252" i="3"/>
  <c r="E252" i="3"/>
  <c r="C253" i="3"/>
  <c r="D253" i="3"/>
  <c r="E253" i="3"/>
  <c r="F253" i="3"/>
  <c r="C254" i="3"/>
  <c r="D254" i="3"/>
  <c r="E254" i="3"/>
  <c r="F254" i="3"/>
  <c r="C255" i="3"/>
  <c r="D255" i="3"/>
  <c r="E255" i="3"/>
  <c r="F255" i="3"/>
  <c r="C256" i="3"/>
  <c r="D256" i="3"/>
  <c r="E256" i="3"/>
  <c r="F256" i="3"/>
  <c r="D257" i="3"/>
  <c r="E257" i="3"/>
  <c r="F257" i="3"/>
  <c r="C261" i="3"/>
  <c r="D261" i="3"/>
  <c r="E261" i="3"/>
  <c r="F262" i="3"/>
  <c r="F261" i="3" s="1"/>
  <c r="F258" i="3" s="1"/>
  <c r="F263" i="3"/>
  <c r="G263" i="3" s="1"/>
  <c r="H263" i="3" s="1"/>
  <c r="D269" i="3"/>
  <c r="C272" i="3"/>
  <c r="C269" i="3" s="1"/>
  <c r="D272" i="3"/>
  <c r="E272" i="3"/>
  <c r="E269" i="3" s="1"/>
  <c r="F273" i="3"/>
  <c r="F274" i="3"/>
  <c r="G274" i="3" s="1"/>
  <c r="H274" i="3" s="1"/>
  <c r="C283" i="3"/>
  <c r="C280" i="3" s="1"/>
  <c r="D283" i="3"/>
  <c r="D280" i="3" s="1"/>
  <c r="E283" i="3"/>
  <c r="E280" i="3" s="1"/>
  <c r="F284" i="3"/>
  <c r="F283" i="3" s="1"/>
  <c r="F280" i="3" s="1"/>
  <c r="C294" i="3"/>
  <c r="C291" i="3" s="1"/>
  <c r="D294" i="3"/>
  <c r="D291" i="3" s="1"/>
  <c r="E294" i="3"/>
  <c r="E291" i="3" s="1"/>
  <c r="F295" i="3"/>
  <c r="G295" i="3" s="1"/>
  <c r="F296" i="3"/>
  <c r="G296" i="3" s="1"/>
  <c r="H296" i="3" s="1"/>
  <c r="E302" i="3"/>
  <c r="C305" i="3"/>
  <c r="D305" i="3"/>
  <c r="D302" i="3" s="1"/>
  <c r="F306" i="3"/>
  <c r="F307" i="3"/>
  <c r="C312" i="3"/>
  <c r="C257" i="3" s="1"/>
  <c r="C316" i="3"/>
  <c r="C313" i="3" s="1"/>
  <c r="D316" i="3"/>
  <c r="D313" i="3" s="1"/>
  <c r="E316" i="3"/>
  <c r="E313" i="3" s="1"/>
  <c r="F317" i="3"/>
  <c r="F316" i="3" s="1"/>
  <c r="F313" i="3" s="1"/>
  <c r="F318" i="3"/>
  <c r="C327" i="3"/>
  <c r="C324" i="3" s="1"/>
  <c r="D327" i="3"/>
  <c r="D324" i="3" s="1"/>
  <c r="E327" i="3"/>
  <c r="E324" i="3" s="1"/>
  <c r="F328" i="3"/>
  <c r="F327" i="3" s="1"/>
  <c r="F324" i="3" s="1"/>
  <c r="F329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K327" i="3"/>
  <c r="J327" i="3"/>
  <c r="I327" i="3"/>
  <c r="G326" i="3"/>
  <c r="H326" i="3" s="1"/>
  <c r="G325" i="3"/>
  <c r="H325" i="3" s="1"/>
  <c r="G323" i="3"/>
  <c r="H323" i="3" s="1"/>
  <c r="G322" i="3"/>
  <c r="H322" i="3" s="1"/>
  <c r="H321" i="3"/>
  <c r="G321" i="3"/>
  <c r="G320" i="3"/>
  <c r="H320" i="3" s="1"/>
  <c r="G319" i="3"/>
  <c r="H319" i="3" s="1"/>
  <c r="G317" i="3"/>
  <c r="H317" i="3" s="1"/>
  <c r="K316" i="3"/>
  <c r="J316" i="3"/>
  <c r="I316" i="3"/>
  <c r="G315" i="3"/>
  <c r="H315" i="3" s="1"/>
  <c r="G314" i="3"/>
  <c r="H314" i="3" s="1"/>
  <c r="G311" i="3"/>
  <c r="H311" i="3" s="1"/>
  <c r="G310" i="3"/>
  <c r="H310" i="3" s="1"/>
  <c r="G309" i="3"/>
  <c r="H309" i="3" s="1"/>
  <c r="G308" i="3"/>
  <c r="H308" i="3" s="1"/>
  <c r="G306" i="3"/>
  <c r="H306" i="3" s="1"/>
  <c r="K305" i="3"/>
  <c r="J305" i="3"/>
  <c r="I305" i="3"/>
  <c r="G304" i="3"/>
  <c r="H304" i="3" s="1"/>
  <c r="G303" i="3"/>
  <c r="H303" i="3" s="1"/>
  <c r="G301" i="3"/>
  <c r="H301" i="3" s="1"/>
  <c r="G300" i="3"/>
  <c r="H300" i="3" s="1"/>
  <c r="G299" i="3"/>
  <c r="H299" i="3" s="1"/>
  <c r="H298" i="3"/>
  <c r="G298" i="3"/>
  <c r="G297" i="3"/>
  <c r="H297" i="3" s="1"/>
  <c r="K294" i="3"/>
  <c r="J294" i="3"/>
  <c r="I294" i="3"/>
  <c r="G293" i="3"/>
  <c r="H293" i="3" s="1"/>
  <c r="G292" i="3"/>
  <c r="H292" i="3" s="1"/>
  <c r="G290" i="3"/>
  <c r="H290" i="3" s="1"/>
  <c r="G289" i="3"/>
  <c r="H289" i="3" s="1"/>
  <c r="G288" i="3"/>
  <c r="H288" i="3" s="1"/>
  <c r="G287" i="3"/>
  <c r="H287" i="3" s="1"/>
  <c r="H286" i="3"/>
  <c r="G286" i="3"/>
  <c r="G285" i="3"/>
  <c r="H285" i="3" s="1"/>
  <c r="G284" i="3"/>
  <c r="H284" i="3" s="1"/>
  <c r="K283" i="3"/>
  <c r="J283" i="3"/>
  <c r="I283" i="3"/>
  <c r="G282" i="3"/>
  <c r="H282" i="3" s="1"/>
  <c r="G281" i="3"/>
  <c r="G279" i="3"/>
  <c r="G278" i="3"/>
  <c r="H278" i="3" s="1"/>
  <c r="G277" i="3"/>
  <c r="G276" i="3"/>
  <c r="H276" i="3" s="1"/>
  <c r="G275" i="3"/>
  <c r="G273" i="3"/>
  <c r="H273" i="3" s="1"/>
  <c r="K272" i="3"/>
  <c r="J272" i="3"/>
  <c r="I272" i="3"/>
  <c r="G271" i="3"/>
  <c r="H271" i="3" s="1"/>
  <c r="G270" i="3"/>
  <c r="H270" i="3" s="1"/>
  <c r="G268" i="3"/>
  <c r="H268" i="3" s="1"/>
  <c r="G267" i="3"/>
  <c r="G266" i="3"/>
  <c r="H266" i="3" s="1"/>
  <c r="G265" i="3"/>
  <c r="G264" i="3"/>
  <c r="H264" i="3" s="1"/>
  <c r="G262" i="3"/>
  <c r="K261" i="3"/>
  <c r="J261" i="3"/>
  <c r="I261" i="3"/>
  <c r="G260" i="3"/>
  <c r="G259" i="3"/>
  <c r="H259" i="3" s="1"/>
  <c r="K257" i="3"/>
  <c r="J257" i="3"/>
  <c r="J15" i="3" s="1"/>
  <c r="I257" i="3"/>
  <c r="I15" i="3" s="1"/>
  <c r="K256" i="3"/>
  <c r="K14" i="3" s="1"/>
  <c r="J256" i="3"/>
  <c r="I256" i="3"/>
  <c r="K255" i="3"/>
  <c r="J255" i="3"/>
  <c r="J13" i="3" s="1"/>
  <c r="I255" i="3"/>
  <c r="I13" i="3" s="1"/>
  <c r="K254" i="3"/>
  <c r="K12" i="3" s="1"/>
  <c r="J254" i="3"/>
  <c r="J12" i="3" s="1"/>
  <c r="I254" i="3"/>
  <c r="I12" i="3" s="1"/>
  <c r="K253" i="3"/>
  <c r="K11" i="3" s="1"/>
  <c r="J253" i="3"/>
  <c r="I253" i="3"/>
  <c r="K252" i="3"/>
  <c r="J252" i="3"/>
  <c r="J10" i="3" s="1"/>
  <c r="I252" i="3"/>
  <c r="K251" i="3"/>
  <c r="J251" i="3"/>
  <c r="J9" i="3" s="1"/>
  <c r="I251" i="3"/>
  <c r="I9" i="3" s="1"/>
  <c r="K249" i="3"/>
  <c r="J249" i="3"/>
  <c r="I249" i="3"/>
  <c r="K248" i="3"/>
  <c r="K6" i="3" s="1"/>
  <c r="J248" i="3"/>
  <c r="J6" i="3" s="1"/>
  <c r="I248" i="3"/>
  <c r="I6" i="3" s="1"/>
  <c r="K247" i="3"/>
  <c r="J247" i="3"/>
  <c r="I247" i="3"/>
  <c r="G246" i="3"/>
  <c r="H246" i="3" s="1"/>
  <c r="G245" i="3"/>
  <c r="H245" i="3" s="1"/>
  <c r="G244" i="3"/>
  <c r="H244" i="3" s="1"/>
  <c r="G243" i="3"/>
  <c r="H243" i="3" s="1"/>
  <c r="G242" i="3"/>
  <c r="H242" i="3" s="1"/>
  <c r="G241" i="3"/>
  <c r="H241" i="3" s="1"/>
  <c r="K239" i="3"/>
  <c r="J239" i="3"/>
  <c r="I239" i="3"/>
  <c r="G238" i="3"/>
  <c r="H238" i="3" s="1"/>
  <c r="G237" i="3"/>
  <c r="H237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K228" i="3"/>
  <c r="J228" i="3"/>
  <c r="I228" i="3"/>
  <c r="G227" i="3"/>
  <c r="H227" i="3" s="1"/>
  <c r="G226" i="3"/>
  <c r="H226" i="3" s="1"/>
  <c r="G224" i="3"/>
  <c r="H224" i="3" s="1"/>
  <c r="G223" i="3"/>
  <c r="H223" i="3" s="1"/>
  <c r="G222" i="3"/>
  <c r="H222" i="3" s="1"/>
  <c r="G221" i="3"/>
  <c r="H221" i="3" s="1"/>
  <c r="G220" i="3"/>
  <c r="H220" i="3" s="1"/>
  <c r="G218" i="3"/>
  <c r="K217" i="3"/>
  <c r="J217" i="3"/>
  <c r="I217" i="3"/>
  <c r="G216" i="3"/>
  <c r="H216" i="3" s="1"/>
  <c r="G215" i="3"/>
  <c r="H215" i="3" s="1"/>
  <c r="G213" i="3"/>
  <c r="H213" i="3" s="1"/>
  <c r="G212" i="3"/>
  <c r="H212" i="3" s="1"/>
  <c r="G211" i="3"/>
  <c r="H211" i="3" s="1"/>
  <c r="G210" i="3"/>
  <c r="H210" i="3" s="1"/>
  <c r="G209" i="3"/>
  <c r="H209" i="3" s="1"/>
  <c r="K206" i="3"/>
  <c r="J206" i="3"/>
  <c r="I206" i="3"/>
  <c r="G205" i="3"/>
  <c r="H205" i="3" s="1"/>
  <c r="G204" i="3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K195" i="3"/>
  <c r="J195" i="3"/>
  <c r="I195" i="3"/>
  <c r="H194" i="3"/>
  <c r="G194" i="3"/>
  <c r="G193" i="3"/>
  <c r="H193" i="3" s="1"/>
  <c r="G191" i="3"/>
  <c r="H191" i="3" s="1"/>
  <c r="G190" i="3"/>
  <c r="G189" i="3"/>
  <c r="H189" i="3" s="1"/>
  <c r="G188" i="3"/>
  <c r="H188" i="3" s="1"/>
  <c r="G187" i="3"/>
  <c r="H187" i="3" s="1"/>
  <c r="K184" i="3"/>
  <c r="J184" i="3"/>
  <c r="I184" i="3"/>
  <c r="G183" i="3"/>
  <c r="H183" i="3" s="1"/>
  <c r="G182" i="3"/>
  <c r="H182" i="3" s="1"/>
  <c r="G179" i="3"/>
  <c r="H179" i="3" s="1"/>
  <c r="G178" i="3"/>
  <c r="H178" i="3" s="1"/>
  <c r="G177" i="3"/>
  <c r="H177" i="3" s="1"/>
  <c r="G176" i="3"/>
  <c r="K173" i="3"/>
  <c r="J173" i="3"/>
  <c r="I173" i="3"/>
  <c r="G172" i="3"/>
  <c r="G171" i="3"/>
  <c r="H171" i="3" s="1"/>
  <c r="K169" i="3"/>
  <c r="J169" i="3"/>
  <c r="I169" i="3"/>
  <c r="K168" i="3"/>
  <c r="J168" i="3"/>
  <c r="I168" i="3"/>
  <c r="K167" i="3"/>
  <c r="J167" i="3"/>
  <c r="I167" i="3"/>
  <c r="K166" i="3"/>
  <c r="J166" i="3"/>
  <c r="I166" i="3"/>
  <c r="K165" i="3"/>
  <c r="J165" i="3"/>
  <c r="I165" i="3"/>
  <c r="K164" i="3"/>
  <c r="J164" i="3"/>
  <c r="I164" i="3"/>
  <c r="K163" i="3"/>
  <c r="J163" i="3"/>
  <c r="I163" i="3"/>
  <c r="K161" i="3"/>
  <c r="J161" i="3"/>
  <c r="I161" i="3"/>
  <c r="K160" i="3"/>
  <c r="J160" i="3"/>
  <c r="I160" i="3"/>
  <c r="K159" i="3"/>
  <c r="J159" i="3"/>
  <c r="I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K151" i="3"/>
  <c r="J151" i="3"/>
  <c r="I151" i="3"/>
  <c r="G150" i="3"/>
  <c r="H150" i="3" s="1"/>
  <c r="G149" i="3"/>
  <c r="H149" i="3" s="1"/>
  <c r="G147" i="3"/>
  <c r="G146" i="3"/>
  <c r="H146" i="3" s="1"/>
  <c r="H135" i="3" s="1"/>
  <c r="G145" i="3"/>
  <c r="G144" i="3"/>
  <c r="H144" i="3" s="1"/>
  <c r="G143" i="3"/>
  <c r="G132" i="3" s="1"/>
  <c r="K140" i="3"/>
  <c r="J140" i="3"/>
  <c r="J129" i="3" s="1"/>
  <c r="I140" i="3"/>
  <c r="G139" i="3"/>
  <c r="G138" i="3"/>
  <c r="H138" i="3" s="1"/>
  <c r="K136" i="3"/>
  <c r="J136" i="3"/>
  <c r="I136" i="3"/>
  <c r="K135" i="3"/>
  <c r="J135" i="3"/>
  <c r="I135" i="3"/>
  <c r="K134" i="3"/>
  <c r="J134" i="3"/>
  <c r="I134" i="3"/>
  <c r="K133" i="3"/>
  <c r="J133" i="3"/>
  <c r="I133" i="3"/>
  <c r="G133" i="3"/>
  <c r="K132" i="3"/>
  <c r="J132" i="3"/>
  <c r="I132" i="3"/>
  <c r="K131" i="3"/>
  <c r="J131" i="3"/>
  <c r="I131" i="3"/>
  <c r="K130" i="3"/>
  <c r="J130" i="3"/>
  <c r="I130" i="3"/>
  <c r="K128" i="3"/>
  <c r="J128" i="3"/>
  <c r="I128" i="3"/>
  <c r="K127" i="3"/>
  <c r="J127" i="3"/>
  <c r="I127" i="3"/>
  <c r="K126" i="3"/>
  <c r="J126" i="3"/>
  <c r="I126" i="3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H98" i="3" s="1"/>
  <c r="G119" i="3"/>
  <c r="K118" i="3"/>
  <c r="J118" i="3"/>
  <c r="I118" i="3"/>
  <c r="G117" i="3"/>
  <c r="G116" i="3"/>
  <c r="H116" i="3" s="1"/>
  <c r="G114" i="3"/>
  <c r="H114" i="3" s="1"/>
  <c r="H103" i="3" s="1"/>
  <c r="G113" i="3"/>
  <c r="H113" i="3" s="1"/>
  <c r="G112" i="3"/>
  <c r="H112" i="3" s="1"/>
  <c r="G111" i="3"/>
  <c r="G110" i="3"/>
  <c r="H110" i="3" s="1"/>
  <c r="H109" i="3"/>
  <c r="K107" i="3"/>
  <c r="K96" i="3" s="1"/>
  <c r="J107" i="3"/>
  <c r="I107" i="3"/>
  <c r="G106" i="3"/>
  <c r="H106" i="3" s="1"/>
  <c r="G105" i="3"/>
  <c r="K103" i="3"/>
  <c r="J103" i="3"/>
  <c r="I103" i="3"/>
  <c r="K102" i="3"/>
  <c r="J102" i="3"/>
  <c r="I102" i="3"/>
  <c r="K101" i="3"/>
  <c r="J101" i="3"/>
  <c r="I101" i="3"/>
  <c r="K100" i="3"/>
  <c r="J100" i="3"/>
  <c r="I100" i="3"/>
  <c r="K99" i="3"/>
  <c r="J99" i="3"/>
  <c r="I99" i="3"/>
  <c r="K98" i="3"/>
  <c r="J98" i="3"/>
  <c r="I98" i="3"/>
  <c r="K97" i="3"/>
  <c r="J97" i="3"/>
  <c r="I97" i="3"/>
  <c r="K95" i="3"/>
  <c r="J95" i="3"/>
  <c r="I95" i="3"/>
  <c r="K94" i="3"/>
  <c r="J94" i="3"/>
  <c r="I94" i="3"/>
  <c r="K93" i="3"/>
  <c r="J93" i="3"/>
  <c r="I93" i="3"/>
  <c r="H85" i="3"/>
  <c r="H82" i="3" s="1"/>
  <c r="G85" i="3"/>
  <c r="G82" i="3" s="1"/>
  <c r="H74" i="3"/>
  <c r="H71" i="3" s="1"/>
  <c r="G74" i="3"/>
  <c r="G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H62" i="3"/>
  <c r="H61" i="3"/>
  <c r="H52" i="3"/>
  <c r="H49" i="3" s="1"/>
  <c r="G52" i="3"/>
  <c r="G49" i="3" s="1"/>
  <c r="G48" i="3"/>
  <c r="H48" i="3" s="1"/>
  <c r="H37" i="3" s="1"/>
  <c r="H47" i="3"/>
  <c r="H36" i="3" s="1"/>
  <c r="G47" i="3"/>
  <c r="G36" i="3" s="1"/>
  <c r="G46" i="3"/>
  <c r="H46" i="3" s="1"/>
  <c r="H35" i="3" s="1"/>
  <c r="G45" i="3"/>
  <c r="H45" i="3" s="1"/>
  <c r="H34" i="3" s="1"/>
  <c r="G44" i="3"/>
  <c r="H44" i="3" s="1"/>
  <c r="H33" i="3" s="1"/>
  <c r="G43" i="3"/>
  <c r="G32" i="3" s="1"/>
  <c r="G42" i="3"/>
  <c r="G40" i="3"/>
  <c r="G39" i="3"/>
  <c r="H39" i="3" s="1"/>
  <c r="H28" i="3" s="1"/>
  <c r="G31" i="3"/>
  <c r="G28" i="3"/>
  <c r="H26" i="3"/>
  <c r="G25" i="3"/>
  <c r="H25" i="3" s="1"/>
  <c r="G24" i="3"/>
  <c r="H24" i="3" s="1"/>
  <c r="H23" i="3"/>
  <c r="G23" i="3"/>
  <c r="G22" i="3"/>
  <c r="H21" i="3"/>
  <c r="G20" i="3"/>
  <c r="H20" i="3" s="1"/>
  <c r="K19" i="3"/>
  <c r="K16" i="3" s="1"/>
  <c r="J19" i="3"/>
  <c r="I19" i="3"/>
  <c r="H18" i="3"/>
  <c r="G17" i="3"/>
  <c r="H17" i="3" s="1"/>
  <c r="I16" i="3"/>
  <c r="K15" i="3"/>
  <c r="J14" i="3"/>
  <c r="I14" i="3"/>
  <c r="K13" i="3"/>
  <c r="J11" i="3"/>
  <c r="I11" i="3"/>
  <c r="K10" i="3"/>
  <c r="I10" i="3"/>
  <c r="K9" i="3"/>
  <c r="K7" i="3"/>
  <c r="J7" i="3"/>
  <c r="I7" i="3"/>
  <c r="D10" i="3" l="1"/>
  <c r="K5" i="3"/>
  <c r="H43" i="3"/>
  <c r="H32" i="3" s="1"/>
  <c r="G207" i="3"/>
  <c r="H207" i="3" s="1"/>
  <c r="D13" i="3"/>
  <c r="G108" i="3"/>
  <c r="D15" i="3"/>
  <c r="E12" i="3"/>
  <c r="H143" i="3"/>
  <c r="H132" i="3" s="1"/>
  <c r="D250" i="3"/>
  <c r="C13" i="3"/>
  <c r="C11" i="3"/>
  <c r="D12" i="3"/>
  <c r="D9" i="3"/>
  <c r="D11" i="3"/>
  <c r="F163" i="3"/>
  <c r="F294" i="3"/>
  <c r="F291" i="3" s="1"/>
  <c r="E162" i="3"/>
  <c r="F217" i="3"/>
  <c r="F214" i="3" s="1"/>
  <c r="D162" i="3"/>
  <c r="E15" i="3"/>
  <c r="I96" i="3"/>
  <c r="F7" i="3"/>
  <c r="E9" i="3"/>
  <c r="H133" i="3"/>
  <c r="C302" i="3"/>
  <c r="C9" i="3"/>
  <c r="F41" i="3"/>
  <c r="F38" i="3" s="1"/>
  <c r="F27" i="3" s="1"/>
  <c r="E14" i="3"/>
  <c r="E10" i="3"/>
  <c r="G174" i="3"/>
  <c r="H174" i="3" s="1"/>
  <c r="H163" i="3" s="1"/>
  <c r="E6" i="3"/>
  <c r="D6" i="3"/>
  <c r="F305" i="3"/>
  <c r="F302" i="3" s="1"/>
  <c r="C162" i="3"/>
  <c r="G186" i="3"/>
  <c r="G184" i="3" s="1"/>
  <c r="G181" i="3" s="1"/>
  <c r="C7" i="3"/>
  <c r="E27" i="3"/>
  <c r="D14" i="3"/>
  <c r="E11" i="3"/>
  <c r="E7" i="3"/>
  <c r="H105" i="3"/>
  <c r="H94" i="3" s="1"/>
  <c r="G94" i="3"/>
  <c r="K162" i="3"/>
  <c r="H265" i="3"/>
  <c r="G254" i="3"/>
  <c r="F272" i="3"/>
  <c r="F269" i="3" s="1"/>
  <c r="F247" i="3" s="1"/>
  <c r="E250" i="3"/>
  <c r="C15" i="3"/>
  <c r="H147" i="3"/>
  <c r="H136" i="3" s="1"/>
  <c r="G136" i="3"/>
  <c r="F252" i="3"/>
  <c r="F15" i="3"/>
  <c r="F14" i="3"/>
  <c r="F13" i="3"/>
  <c r="F11" i="3"/>
  <c r="D8" i="3"/>
  <c r="G256" i="3"/>
  <c r="H267" i="3"/>
  <c r="H256" i="3" s="1"/>
  <c r="F251" i="3"/>
  <c r="F9" i="3" s="1"/>
  <c r="G168" i="3"/>
  <c r="C250" i="3"/>
  <c r="F12" i="3"/>
  <c r="D170" i="3"/>
  <c r="D159" i="3" s="1"/>
  <c r="F137" i="3"/>
  <c r="F126" i="3" s="1"/>
  <c r="D104" i="3"/>
  <c r="D93" i="3" s="1"/>
  <c r="F16" i="3"/>
  <c r="G107" i="3"/>
  <c r="G96" i="3" s="1"/>
  <c r="E258" i="3"/>
  <c r="E247" i="3" s="1"/>
  <c r="F239" i="3"/>
  <c r="F236" i="3" s="1"/>
  <c r="C170" i="3"/>
  <c r="C159" i="3" s="1"/>
  <c r="C164" i="3"/>
  <c r="C10" i="3" s="1"/>
  <c r="E137" i="3"/>
  <c r="E126" i="3" s="1"/>
  <c r="C104" i="3"/>
  <c r="C93" i="3" s="1"/>
  <c r="D38" i="3"/>
  <c r="D27" i="3" s="1"/>
  <c r="E30" i="3"/>
  <c r="E8" i="3" s="1"/>
  <c r="E16" i="3"/>
  <c r="G101" i="3"/>
  <c r="G118" i="3"/>
  <c r="G115" i="3" s="1"/>
  <c r="K129" i="3"/>
  <c r="G134" i="3"/>
  <c r="G166" i="3"/>
  <c r="G167" i="3"/>
  <c r="K250" i="3"/>
  <c r="K8" i="3" s="1"/>
  <c r="G312" i="3"/>
  <c r="H312" i="3" s="1"/>
  <c r="D258" i="3"/>
  <c r="D247" i="3" s="1"/>
  <c r="F173" i="3"/>
  <c r="F164" i="3"/>
  <c r="F10" i="3" s="1"/>
  <c r="D137" i="3"/>
  <c r="D126" i="3" s="1"/>
  <c r="F107" i="3"/>
  <c r="D16" i="3"/>
  <c r="H63" i="3"/>
  <c r="H60" i="3" s="1"/>
  <c r="J96" i="3"/>
  <c r="H99" i="3"/>
  <c r="H102" i="3"/>
  <c r="H101" i="3"/>
  <c r="I5" i="3"/>
  <c r="C258" i="3"/>
  <c r="C247" i="3" s="1"/>
  <c r="E170" i="3"/>
  <c r="E159" i="3" s="1"/>
  <c r="C140" i="3"/>
  <c r="E104" i="3"/>
  <c r="E93" i="3" s="1"/>
  <c r="C16" i="3"/>
  <c r="J250" i="3"/>
  <c r="G283" i="3"/>
  <c r="G280" i="3" s="1"/>
  <c r="G34" i="3"/>
  <c r="G63" i="3"/>
  <c r="G60" i="3" s="1"/>
  <c r="G98" i="3"/>
  <c r="H119" i="3"/>
  <c r="G103" i="3"/>
  <c r="H145" i="3"/>
  <c r="H134" i="3" s="1"/>
  <c r="G127" i="3"/>
  <c r="J162" i="3"/>
  <c r="H190" i="3"/>
  <c r="H168" i="3" s="1"/>
  <c r="G239" i="3"/>
  <c r="G236" i="3" s="1"/>
  <c r="G35" i="3"/>
  <c r="I129" i="3"/>
  <c r="H127" i="3"/>
  <c r="H166" i="3"/>
  <c r="G195" i="3"/>
  <c r="G192" i="3" s="1"/>
  <c r="G99" i="3"/>
  <c r="H196" i="3"/>
  <c r="H195" i="3" s="1"/>
  <c r="H192" i="3" s="1"/>
  <c r="J16" i="3"/>
  <c r="J5" i="3" s="1"/>
  <c r="J8" i="3"/>
  <c r="H22" i="3"/>
  <c r="G29" i="3"/>
  <c r="H40" i="3"/>
  <c r="H29" i="3" s="1"/>
  <c r="H95" i="3"/>
  <c r="H108" i="3"/>
  <c r="G97" i="3"/>
  <c r="H117" i="3"/>
  <c r="G95" i="3"/>
  <c r="G294" i="3"/>
  <c r="G291" i="3" s="1"/>
  <c r="H295" i="3"/>
  <c r="H294" i="3" s="1"/>
  <c r="H291" i="3" s="1"/>
  <c r="G41" i="3"/>
  <c r="H42" i="3"/>
  <c r="G102" i="3"/>
  <c r="G14" i="3" s="1"/>
  <c r="G100" i="3"/>
  <c r="H111" i="3"/>
  <c r="H100" i="3" s="1"/>
  <c r="H118" i="3"/>
  <c r="H115" i="3" s="1"/>
  <c r="G128" i="3"/>
  <c r="H139" i="3"/>
  <c r="H128" i="3" s="1"/>
  <c r="G253" i="3"/>
  <c r="H275" i="3"/>
  <c r="H253" i="3" s="1"/>
  <c r="G19" i="3"/>
  <c r="H19" i="3"/>
  <c r="H204" i="3"/>
  <c r="G160" i="3"/>
  <c r="G152" i="3"/>
  <c r="G161" i="3"/>
  <c r="H172" i="3"/>
  <c r="H161" i="3" s="1"/>
  <c r="G141" i="3"/>
  <c r="G142" i="3"/>
  <c r="G180" i="3"/>
  <c r="G217" i="3"/>
  <c r="G214" i="3" s="1"/>
  <c r="H218" i="3"/>
  <c r="H217" i="3" s="1"/>
  <c r="H214" i="3" s="1"/>
  <c r="G228" i="3"/>
  <c r="G225" i="3" s="1"/>
  <c r="H229" i="3"/>
  <c r="H228" i="3" s="1"/>
  <c r="H225" i="3" s="1"/>
  <c r="H254" i="3"/>
  <c r="G248" i="3"/>
  <c r="H281" i="3"/>
  <c r="H248" i="3" s="1"/>
  <c r="G307" i="3"/>
  <c r="G328" i="3"/>
  <c r="G33" i="3"/>
  <c r="G37" i="3"/>
  <c r="G135" i="3"/>
  <c r="I162" i="3"/>
  <c r="G173" i="3"/>
  <c r="H167" i="3"/>
  <c r="H185" i="3"/>
  <c r="G249" i="3"/>
  <c r="H260" i="3"/>
  <c r="H249" i="3" s="1"/>
  <c r="I250" i="3"/>
  <c r="I8" i="3" s="1"/>
  <c r="G261" i="3"/>
  <c r="H262" i="3"/>
  <c r="G251" i="3"/>
  <c r="G257" i="3"/>
  <c r="H279" i="3"/>
  <c r="H257" i="3" s="1"/>
  <c r="H283" i="3"/>
  <c r="H280" i="3" s="1"/>
  <c r="H160" i="3"/>
  <c r="H6" i="3" s="1"/>
  <c r="G165" i="3"/>
  <c r="H176" i="3"/>
  <c r="H165" i="3" s="1"/>
  <c r="G208" i="3"/>
  <c r="H239" i="3"/>
  <c r="H236" i="3" s="1"/>
  <c r="G272" i="3"/>
  <c r="G269" i="3" s="1"/>
  <c r="H277" i="3"/>
  <c r="H255" i="3" s="1"/>
  <c r="G255" i="3"/>
  <c r="G318" i="3"/>
  <c r="H14" i="3" l="1"/>
  <c r="G11" i="3"/>
  <c r="G104" i="3"/>
  <c r="G93" i="3" s="1"/>
  <c r="H186" i="3"/>
  <c r="G13" i="3"/>
  <c r="F30" i="3"/>
  <c r="G163" i="3"/>
  <c r="F250" i="3"/>
  <c r="G164" i="3"/>
  <c r="H13" i="3"/>
  <c r="G12" i="3"/>
  <c r="C129" i="3"/>
  <c r="C8" i="3" s="1"/>
  <c r="C137" i="3"/>
  <c r="C126" i="3" s="1"/>
  <c r="C5" i="3" s="1"/>
  <c r="E5" i="3"/>
  <c r="F96" i="3"/>
  <c r="F8" i="3" s="1"/>
  <c r="F104" i="3"/>
  <c r="F93" i="3" s="1"/>
  <c r="H12" i="3"/>
  <c r="D5" i="3"/>
  <c r="F162" i="3"/>
  <c r="F170" i="3"/>
  <c r="F159" i="3" s="1"/>
  <c r="H184" i="3"/>
  <c r="H181" i="3" s="1"/>
  <c r="H318" i="3"/>
  <c r="H316" i="3" s="1"/>
  <c r="H313" i="3" s="1"/>
  <c r="G316" i="3"/>
  <c r="G313" i="3" s="1"/>
  <c r="H141" i="3"/>
  <c r="G140" i="3"/>
  <c r="G130" i="3"/>
  <c r="G170" i="3"/>
  <c r="G6" i="3"/>
  <c r="H41" i="3"/>
  <c r="H31" i="3"/>
  <c r="H107" i="3"/>
  <c r="H97" i="3"/>
  <c r="H7" i="3"/>
  <c r="G16" i="3"/>
  <c r="H208" i="3"/>
  <c r="G206" i="3"/>
  <c r="G203" i="3" s="1"/>
  <c r="H261" i="3"/>
  <c r="H307" i="3"/>
  <c r="G305" i="3"/>
  <c r="G302" i="3" s="1"/>
  <c r="G30" i="3"/>
  <c r="G38" i="3"/>
  <c r="G27" i="3" s="1"/>
  <c r="G7" i="3"/>
  <c r="H173" i="3"/>
  <c r="G258" i="3"/>
  <c r="G327" i="3"/>
  <c r="G324" i="3" s="1"/>
  <c r="H328" i="3"/>
  <c r="H327" i="3" s="1"/>
  <c r="H324" i="3" s="1"/>
  <c r="H180" i="3"/>
  <c r="H169" i="3" s="1"/>
  <c r="H15" i="3" s="1"/>
  <c r="G169" i="3"/>
  <c r="G15" i="3" s="1"/>
  <c r="H142" i="3"/>
  <c r="H131" i="3" s="1"/>
  <c r="G131" i="3"/>
  <c r="H152" i="3"/>
  <c r="H151" i="3" s="1"/>
  <c r="H148" i="3" s="1"/>
  <c r="G151" i="3"/>
  <c r="G148" i="3" s="1"/>
  <c r="G252" i="3"/>
  <c r="H16" i="3"/>
  <c r="H272" i="3"/>
  <c r="H269" i="3" s="1"/>
  <c r="H11" i="3"/>
  <c r="G9" i="3" l="1"/>
  <c r="F5" i="3"/>
  <c r="H251" i="3"/>
  <c r="G159" i="3"/>
  <c r="H140" i="3"/>
  <c r="H130" i="3"/>
  <c r="G250" i="3"/>
  <c r="H305" i="3"/>
  <c r="H302" i="3" s="1"/>
  <c r="H252" i="3"/>
  <c r="H164" i="3"/>
  <c r="H10" i="3" s="1"/>
  <c r="H206" i="3"/>
  <c r="H203" i="3" s="1"/>
  <c r="G162" i="3"/>
  <c r="G247" i="3"/>
  <c r="H9" i="3"/>
  <c r="G10" i="3"/>
  <c r="H170" i="3"/>
  <c r="H258" i="3"/>
  <c r="H104" i="3"/>
  <c r="H93" i="3" s="1"/>
  <c r="H96" i="3"/>
  <c r="H38" i="3"/>
  <c r="H27" i="3" s="1"/>
  <c r="H30" i="3"/>
  <c r="G129" i="3"/>
  <c r="G8" i="3" s="1"/>
  <c r="G137" i="3"/>
  <c r="G126" i="3" s="1"/>
  <c r="G5" i="3" s="1"/>
  <c r="H250" i="3" l="1"/>
  <c r="H247" i="3"/>
  <c r="H159" i="3"/>
  <c r="H162" i="3"/>
  <c r="H137" i="3"/>
  <c r="H126" i="3" s="1"/>
  <c r="H5" i="3" s="1"/>
  <c r="H129" i="3"/>
  <c r="H8" i="3" l="1"/>
</calcChain>
</file>

<file path=xl/sharedStrings.xml><?xml version="1.0" encoding="utf-8"?>
<sst xmlns="http://schemas.openxmlformats.org/spreadsheetml/2006/main" count="666" uniqueCount="107">
  <si>
    <t>ორგანიზაციული კოდი</t>
  </si>
  <si>
    <t>დასახელება</t>
  </si>
  <si>
    <t>2025 წლის მოქმედი ბიუჯეტი</t>
  </si>
  <si>
    <t>მატება</t>
  </si>
  <si>
    <t>კლება</t>
  </si>
  <si>
    <t>2025 წლის  იანვარ თებერვლის კულტურის  ხარჯები</t>
  </si>
  <si>
    <t>ცვლილებები
+ -</t>
  </si>
  <si>
    <t>2026 წელი</t>
  </si>
  <si>
    <t>2027 წელი</t>
  </si>
  <si>
    <t>2028 წელი</t>
  </si>
  <si>
    <t>დამატებითი ინფორმაცია</t>
  </si>
  <si>
    <t>08 00</t>
  </si>
  <si>
    <t>აჭარის ავტონომიური რესპუბლიკის კულტურის  სამინისტრო</t>
  </si>
  <si>
    <t/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</si>
  <si>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</si>
  <si>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</si>
  <si>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</si>
  <si>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</si>
  <si>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</si>
  <si>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</si>
  <si>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</si>
  <si>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</si>
  <si>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</si>
  <si>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</si>
  <si>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08 01</t>
  </si>
  <si>
    <t>კულტურის სფეროს პოლიტიკის შემუშავება და მართვა</t>
  </si>
  <si>
    <t>50 000  ლარი შენობის რემონტი;
320 000  ლარი 4 ერთეული ტრანსპორტი;ზ
203 000 ლარი კომპიუტერები, კომპიუტერული ტექნიკა, ავეჯი და სხვა</t>
  </si>
  <si>
    <t>08 02</t>
  </si>
  <si>
    <t>კულტურის პოპულარიზაცია და შემოქმედებითი პროცესების მხარდაჭერა</t>
  </si>
  <si>
    <t>55 000 ლარი გადადის  ბალეტის სკოლაში 22 000 ლარი, ხელოვნების სივრცეში - 15 000 ლარი და მწერალთა სახლში 18 000 ლარი.</t>
  </si>
  <si>
    <t>08 02 01</t>
  </si>
  <si>
    <t>პროექტების მხარდაჭერა, ფესტივალების  და ღონისძიებები ორგანიზება</t>
  </si>
  <si>
    <t>შტატგარეშე იანვარი 1 600 ლარი;
თებერვალი 1 600 ლარი
მცირდება 55 000 ლარი, რომელიც გადანაწილებულია ბალეტის სკოლაში, ხელოვნების სივრცეში და მწერალთა სახლში</t>
  </si>
  <si>
    <t>08 02 02</t>
  </si>
  <si>
    <t>ახალი ინდივიდუალური შემოქმედებითი პროექტების ხელშეწყობა</t>
  </si>
  <si>
    <t>08 03</t>
  </si>
  <si>
    <t>კულტურის ორგანიზაციების განვითარების ხელშეწყობა</t>
  </si>
  <si>
    <t>08 04</t>
  </si>
  <si>
    <t>ფოლკლორის პოპულარიზაცია და ხელშეწყობა</t>
  </si>
  <si>
    <t>08 05</t>
  </si>
  <si>
    <t>კულტურის სფეროს წარმომადგენელთა პროფესიული განვითარების ხელშეწყობა</t>
  </si>
  <si>
    <t>08 06</t>
  </si>
  <si>
    <t>კულტურული მემკვიდრეობის დაცვა, განვითარება და პოპულარიზაცია</t>
  </si>
  <si>
    <t>08 06 01</t>
  </si>
  <si>
    <t>კულტურული მემკვიდრეობის მართვა</t>
  </si>
  <si>
    <t>გაწეული ხარჯი - 128 636 ლარი (ხელფასი- 101 912 ლარი, საქონელი 26 724 ლარი) ლარი;
მოსალოდნელი ხარჯი =  137 772  ლარი 
 ხელფასი-103 530 ლარი, საქონელი (შტატგარეშე - 7 870, . კომუნალური 1 186 ) - 9 056 ლარი</t>
  </si>
  <si>
    <t>საოფისე შენობის რეაბილიტაცია</t>
  </si>
  <si>
    <t>08 06 02</t>
  </si>
  <si>
    <t>კულტურული მემკვიდრეობის შენარჩუნება და განვითარება</t>
  </si>
  <si>
    <t>08 07</t>
  </si>
  <si>
    <t>მუზეუმებისა და გალერეების განვითარება</t>
  </si>
  <si>
    <t>08 07 01</t>
  </si>
  <si>
    <t>ა(ა)იპ "თანამედროვე ხელოვნების სივრცე"</t>
  </si>
  <si>
    <t>გაწეული ხარჯი - 11 651 ლარი (ხელფასი- 10 730 ლარი, საქონელი 0.921 ლარი) ლარი;
მოსალოდნელი ხარჯი =  11 651  ლარი 
 ხელფასი -10 730 ლარი, საქონელი (შტატგარეშე - 0 . კომუნალური0.865 ) - 34 242 ლარი
მატება 5 000 ღონისძიებები</t>
  </si>
  <si>
    <t>ქანდაკებების შეძენა</t>
  </si>
  <si>
    <t>08 07 02</t>
  </si>
  <si>
    <t>სსიპ ''აჭარის მუზეუმი''</t>
  </si>
  <si>
    <t>მცირდება შტატგარეშე მომუშავეთა ერთი ერთეული სახელფასო განაკვეთით თვეში 950 ლარი;
გაწეული ხარჯი - 226 490 ლარი (ხელფასი- 150 115 ლარი, საქონელი 36 530, სოცი 4 045, არაფინანსური აქტივები - 35 800 ლარი) ;
მოსალოდნელი ხარჯი =  236 175 ლარი 
 ხელფასი-149 335 ლარი, საქონელი (შტატგარეშე -21 910,  კომუნალური 13 240, ტრანსორ -480, სხვა დანარჩენი  (დაცვა) 51 210,) - 86 840 ლარი
სოციალური უზრუნველყოფის მუხლში 4 045 ლარი გადმოტანილია ფორმა N2 ით, 
შრომის ანაზღაურების 1% - 20 000 ლარი დამატებულია სოცზე.</t>
  </si>
  <si>
    <t>08 08</t>
  </si>
  <si>
    <t>სასცენო და სამუსიკო ხელოვნების ხელშეწყობა</t>
  </si>
  <si>
    <t>08 08 01</t>
  </si>
  <si>
    <t>სსიპ "ბათუმის თოჯინებისა და მოზარდ მაყურებელთა პროფესიული სახელმწიფო თეატრი"</t>
  </si>
  <si>
    <t>გაწეული ხარჯი - 107 216 ლარი (ხელფასი- 95 947 ლარი, საქონელი 11 270) ;
მოსალოდნელი ხარჯი =   97 515 ლარი 
 ხელფასი-84 700 ლარი, საქონელი (შტატგარეშე -6 380,  კომუნალური 6 435) - 12 815  ლარი</t>
  </si>
  <si>
    <t>08 08 02</t>
  </si>
  <si>
    <t>სსიპ "აჭარის მელიტონ კუხიანიძის სახელობის სიმღერისა და ცეკვის სახელმწიფო აკადემიური ანსამბლი „არსიანი“</t>
  </si>
  <si>
    <t>გაწეული ხარჯი - 185 370 ლარი (ხელფასი- 159  520  ლარი, საქონელი 25 850) ;
მოსალოდნელი ხარჯი =     ლარი 
 ხელფასი-163 000 ლარი, საქონელი (შტატგარეშე -20 020,  კომუნალური 6 500) - 26 520  ლარი</t>
  </si>
  <si>
    <t>08 08 03</t>
  </si>
  <si>
    <t>სსიპ "ბათუმის სახელმწიფო მუსიკალური ცენტრი"</t>
  </si>
  <si>
    <t>ემატება შტატგარეშე ანაზღაურება ერთი ერთეულით სახელფასო განაკვეთი 950 ლარი X 10 თე = 9 500 ლარი;
გაწეული ხარჯი - 462 370ლარი (ხელფასი- 409 565  ლარი, საქონელი 52 805) ;
მოსალოდნელი ხარჯი =   415 143  ლარი 
 ხელფასი-372 653 ლარი, საქონელი (შტატგარეშე -26 620,  კომუნალური - 15 870 ) -   42 490 ლარი</t>
  </si>
  <si>
    <t>08 08 04</t>
  </si>
  <si>
    <t>სსიპ "ბათუმის ილია ჭავჭავაძის სახელობის სახელმწიფო პროფესიული დრამატული თეატრი"</t>
  </si>
  <si>
    <t xml:space="preserve">გაწეული ხარჯი - 274 275  ლარი (ხელფასი- 228 688  ლარი, საქონელი 45 587) ;
მოსალოდნელი ხარჯი =  254 285   ლარი 
 ხელფასი-231 000 ლარი, საქონელი (შტატგარეშე -12 000, კომუნალური - 4 260 ლარი, სხვა დანარჩენი 7 025 ლარი) </t>
  </si>
  <si>
    <t>08 08 05</t>
  </si>
  <si>
    <t>სსიპ "აჭარის სახელმწიფო ვოკალური ანსამბლი ბათუმი"</t>
  </si>
  <si>
    <t>გაწეული ხარჯი - 69 560 ლარი (ხელფასი- 63 320  ლარი, საქონელი 6 240) ;
მოსალოდნელი ხარჯი =  65 930  ლარი 
 ხელფასი-57 120  ლარი, საქონელი (შტატგარეშე -4 640,  ოფისის და სხვა 4 170 ლარი  ) - 8 810  ლარი</t>
  </si>
  <si>
    <t>08 08 06</t>
  </si>
  <si>
    <t>სსიპ "აჭარის ხალხური ცეკვის სახელმწიფო აკადემიური ანსამბლი ხორუმი"</t>
  </si>
  <si>
    <t>გაწეული ხარჯი - 75 591 ლარი (ხელფასი- 74 078 ლარი, საქონელი 1 515) ;
მოსალოდნელი ხარჯი =    75 662  ლარი 
 ხელფასი-74 078 ლარი, საქონელი (შტატგარეშე -750, კომუნალური 834) - 1 584  ლარი</t>
  </si>
  <si>
    <t>08 09</t>
  </si>
  <si>
    <t>ლიტერატურული ცხოვრების განვითარების ხელშეწყობა</t>
  </si>
  <si>
    <t>გაწეული ხარჯი - 16 045ლარი (ხელფასი- 13 990 ლარი, საქონელი 2.055) ;
მოსალოდნელი ხარჯი =   17 540   ლარი 
 ხელფასი-13 990 ლარი, საქონელი (შტატგარეშე -1 670, კომუნალური 1880) - 3 550  ლარი
ემატება 3 000 ლარი</t>
  </si>
  <si>
    <t>იზრდება ინვენტარის ხარჯები</t>
  </si>
  <si>
    <t>08 10</t>
  </si>
  <si>
    <t>სახელოვნებო განათლების ხელშეწყობა</t>
  </si>
  <si>
    <t>08 10 01</t>
  </si>
  <si>
    <t>ა(ა)იპ "მელიტონ ბალანჩივაძის სახელობის ხელოვნების სკოლა"</t>
  </si>
  <si>
    <t>გაწეული ხარჯი - 195 518 ლარი (ხელფასი- 188 376 ლარი, საქონელი 7 142 ლარი) ლარი;
მოსალოდნელი ხარჯი - ხელფასი-188 700 ლარი, საქონელი (შტატგარეშე - 5 600, ელ. ენერგია - 710, გაზი - 4 520, მობილური - 100, ინტერნეტი - 290, წყალი - 370) - 11 590 ლარი</t>
  </si>
  <si>
    <t>08 10 02</t>
  </si>
  <si>
    <t>ა(ა)იპ "ქ. ბათუმის ზაქარია ფალიაშვილის სახელობის სამუსიკო სკოლა"</t>
  </si>
  <si>
    <t>გაწეული ხარჯი - 184.849 ლარი (ხელფასი- 173 820 ლარი, საქონელი 11 029 ლარი) ლარი;
მოსალოდნელი ხარჯი = 183 677 ლარი 
 ხელფასი-174 195 ლარი, საქონელი (შტატგარეშე - 7 020, ელ. ეკომუნალური 2 462 ) - 9 482  ლარი</t>
  </si>
  <si>
    <t>08 10 03</t>
  </si>
  <si>
    <t>ა(ა)იპ "ქ. ბათუმის რევაზ ლაღიძის სახელობის სამუსიკო სკოლა"</t>
  </si>
  <si>
    <t>გაწეული ხარჯი - 124 693 ლარი (ხელფასი- 118 349 ლარი, საქონელი 6 344 ლარი) ლარი;
მოსალოდნელი ხარჯი = 128  526  ლარი 
 ხელფასი-118 350 ლარი, საქონელი - 10 176 ლარი</t>
  </si>
  <si>
    <t>08 10 04</t>
  </si>
  <si>
    <t>ა(ა)იპ "ქ. ბათუმის ვახტანგ ჭაბუკიანის სახელობის კლასიკური ბალეტის სკოლა"</t>
  </si>
  <si>
    <t xml:space="preserve">გაწეული ხარჯი - 55 036 ლარი (ხელფასი- 43 008 ლარი, საქონელი 12 030 ლარი) ლარი;
მოსალოდნელი ხარჯი = 46 668  ლარი 
 ხელფასი-43 008 ლარი, საქონელი (შტატგარეშე - 2 640, 
 სხვა 1 020 ლარი ) - 3 660 ლარი
</t>
  </si>
  <si>
    <t>08 10 05</t>
  </si>
  <si>
    <t>ა(ა)იპ "აჭარის ხალხური ხელოვნების სკოლა"</t>
  </si>
  <si>
    <t>გაწეული ხარჯი - 52 820 ლარი (ხელფასი- 48 967 ლარი, საქონელი 3 853 ლარი) ლარი;
მოსალოდნელი ხარჯი = 58 650  ლარი 
 ხელფასი-48 967 ლარი, საქონელი (შტატგარეშე - 7  080, . კომუნალური 2 603 ) - 9 683ლარი</t>
  </si>
  <si>
    <t>08 10 06</t>
  </si>
  <si>
    <t>ა(ა)იპ "ნიკოლოზ კანდელაკის სახელობის სამხატვრო სკოლა"</t>
  </si>
  <si>
    <t>გაწეული ხარჯი - 53 413ლარი (ხელფასი- 46 691 ლარი, საქონელი 6 722 ლარი) ლარი;
მოსალოდნელი ხარჯი = 52 891  ლარი 
 ხელფასი-46 061 ლარი, საქონელი (შტატგარეშე - 4 030, . კომუნალური 2 800 ) - 6 830ლარი</t>
  </si>
  <si>
    <t>08 10 07</t>
  </si>
  <si>
    <t>ა(ა)იპ "ქ. ბათუმის მოსწავლე ახალგაზრდობის სასახლე"</t>
  </si>
  <si>
    <t>გაწეული ხარჯი - 48 645ლარი (ხელფასი- 41 775 ლარი, საქონელი 6 870 ლარი) ლარი;
მოსალოდნელი ხარჯი =  50 255 ლარი 
 ხელფასი-43 875 ლარი, საქონელი (შტატგარეშე - 3 420, . კომუნალური 2 960) - 6 380 ლარი</t>
  </si>
  <si>
    <t>აჭარის ავტონომიური რესპუბლიკის კულტურის  სამინისტროს 
2025 წლის ბიუჯეტი</t>
  </si>
  <si>
    <t>2025 წლის კულტურის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</si>
</sst>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00000000000"/>
    <numFmt numFmtId="166" formatCode="0.0"/>
  </numFmts>
  <fonts count="18">
    <font>
      <sz val="11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6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sz val="9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SPAcademi"/>
    </font>
    <font>
      <sz val="10"/>
      <color rgb="FF000000"/>
      <name val="Sylfaen"/>
      <family val="2"/>
    </font>
    <font>
      <sz val="10"/>
      <color rgb="FF000000"/>
      <name val="SPAcademi"/>
    </font>
    <font>
      <b/>
      <sz val="11"/>
      <color rgb="FF000000"/>
      <name val="SPAcademi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name val="SPAcademi"/>
    </font>
    <font>
      <b/>
      <sz val="10"/>
      <color rgb="FFC00000"/>
      <name val="SPAcademi"/>
    </font>
    <font>
      <sz val="11"/>
      <color theme="1"/>
      <name val="SPAcadem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0" xfId="0" applyFill="1"/>
    <xf numFmtId="0" fontId="17" fillId="0" borderId="0" xfId="0" applyFont="1" applyFill="1"/>
    <xf numFmtId="0" fontId="7" fillId="0" borderId="0" xfId="0" applyFont="1" applyFill="1"/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4" fontId="9" fillId="2" borderId="1" xfId="0" applyNumberFormat="1" applyFont="1" applyFill="1" applyBorder="1" applyAlignment="1">
      <alignment horizontal="right" vertical="center" wrapText="1" readingOrder="1"/>
    </xf>
    <xf numFmtId="4" fontId="7" fillId="2" borderId="1" xfId="0" applyNumberFormat="1" applyFont="1" applyFill="1" applyBorder="1"/>
    <xf numFmtId="4" fontId="0" fillId="2" borderId="0" xfId="0" applyNumberFormat="1" applyFill="1"/>
    <xf numFmtId="0" fontId="0" fillId="2" borderId="0" xfId="0" applyFill="1"/>
    <xf numFmtId="0" fontId="10" fillId="2" borderId="1" xfId="0" applyNumberFormat="1" applyFont="1" applyFill="1" applyBorder="1" applyAlignment="1">
      <alignment horizontal="left" vertical="center" wrapText="1" indent="1" readingOrder="1"/>
    </xf>
    <xf numFmtId="4" fontId="11" fillId="2" borderId="1" xfId="0" applyNumberFormat="1" applyFont="1" applyFill="1" applyBorder="1" applyAlignment="1">
      <alignment horizontal="right" vertical="center" wrapText="1" readingOrder="1"/>
    </xf>
    <xf numFmtId="0" fontId="7" fillId="2" borderId="1" xfId="0" applyFont="1" applyFill="1" applyBorder="1"/>
    <xf numFmtId="0" fontId="10" fillId="2" borderId="1" xfId="0" applyNumberFormat="1" applyFont="1" applyFill="1" applyBorder="1" applyAlignment="1">
      <alignment horizontal="left" vertical="center" wrapText="1" indent="2" readingOrder="1"/>
    </xf>
    <xf numFmtId="4" fontId="12" fillId="2" borderId="1" xfId="0" applyNumberFormat="1" applyFont="1" applyFill="1" applyBorder="1" applyAlignment="1">
      <alignment horizontal="right" vertical="center" wrapText="1" readingOrder="1"/>
    </xf>
    <xf numFmtId="0" fontId="7" fillId="2" borderId="1" xfId="0" applyFont="1" applyFill="1" applyBorder="1" applyAlignment="1">
      <alignment wrapText="1"/>
    </xf>
    <xf numFmtId="49" fontId="13" fillId="2" borderId="1" xfId="0" applyNumberFormat="1" applyFont="1" applyFill="1" applyBorder="1" applyAlignment="1">
      <alignment wrapText="1"/>
    </xf>
    <xf numFmtId="0" fontId="14" fillId="2" borderId="1" xfId="0" applyNumberFormat="1" applyFont="1" applyFill="1" applyBorder="1" applyAlignment="1">
      <alignment horizontal="center" vertical="center" wrapText="1" readingOrder="1"/>
    </xf>
    <xf numFmtId="4" fontId="15" fillId="2" borderId="1" xfId="0" applyNumberFormat="1" applyFont="1" applyFill="1" applyBorder="1" applyAlignment="1">
      <alignment horizontal="right" vertical="center" wrapText="1" readingOrder="1"/>
    </xf>
    <xf numFmtId="165" fontId="0" fillId="2" borderId="0" xfId="0" applyNumberFormat="1" applyFill="1"/>
    <xf numFmtId="164" fontId="0" fillId="2" borderId="0" xfId="0" applyNumberFormat="1" applyFill="1"/>
    <xf numFmtId="166" fontId="0" fillId="2" borderId="0" xfId="0" applyNumberFormat="1" applyFill="1"/>
    <xf numFmtId="4" fontId="16" fillId="2" borderId="1" xfId="0" applyNumberFormat="1" applyFont="1" applyFill="1" applyBorder="1" applyAlignment="1">
      <alignment horizontal="right" vertical="center" wrapText="1" readingOrder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44;&#1086;&#1082;&#1091;&#1084;&#1077;&#1085;&#1090;&#1099;\&#1044;&#1086;&#1093;&#1086;&#1076;&#1099;2000\&#1064;&#1077;&#1089;&#1088;&#1091;&#1083;&#1077;&#1073;&#1072;\&#1044;&#1054;&#1061;&#1054;&#1044;&#1067;%2004-1999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ecs-1/AppData/Roaming/Microsoft/Excel/roi%20dok/2002%20&#1041;&#1048;&#1059;&#1044;&#1046;&#1045;&#1058;&#1048;/&#1064;&#1077;&#1089;&#1088;&#1091;&#1083;&#1077;&#1073;&#1072;/12/1999%20&#1041;&#1048;&#1059;&#1044;&#1046;&#1045;&#1058;&#1048;/99%20%20&#1084;&#1080;&#1085;%20&#1089;&#1072;&#1073;,%20&#1088;&#1077;&#1079;&#1077;&#1088;&#1074;&#1080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ecs-1/AppData/Roaming/Microsoft/Excel/roi%20dok/2002%20&#1041;&#1048;&#1059;&#1044;&#1046;&#1045;&#1058;&#1048;/&#1064;&#1077;&#1089;&#1088;&#1091;&#1083;&#1077;&#1073;&#1072;/12/2002-12%20&#1090;&#1074;&#1080;&#1089;%20&#1096;&#1077;&#1084;&#1086;&#1089;-&#1093;&#1072;&#1088;&#1076;&#1078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ecs-1/AppData/Roaming/Microsoft/Excel/roi%20dok/2003%20&#1041;&#1048;&#1059;&#1044;&#1046;&#1045;&#1058;&#1048;/&#1064;&#1077;&#1089;&#1088;&#1091;&#1083;&#1077;&#1073;&#1072;/12/shesruleba2003-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ЗЕМЛЮ"/>
      <sheetName val="ИМУЩЕСТВО"/>
      <sheetName val="НА ПЕРЕДАЧУ ИМУЩЕСТВА"/>
      <sheetName val="ЭКОЛОГИЯ"/>
      <sheetName val="ПРИРОД, РЕСУРСИ"/>
      <sheetName val="МЕСТНЫЕ"/>
      <sheetName val="другие НЕНАЛОГОВЫЕ"/>
      <sheetName val="ПОДОХОДНЫЙ"/>
      <sheetName val="ПРИБЫЛЬ"/>
      <sheetName val="НДС"/>
      <sheetName val="НЕНАЛОГОВЫЕ"/>
      <sheetName val="ПРИВАТИЗАЦИЯ"/>
      <sheetName val="таможенний НДС"/>
      <sheetName val="таможенная пошлина"/>
      <sheetName val="таможенний акциз"/>
      <sheetName val="АКЦИЗ"/>
      <sheetName val="База2"/>
      <sheetName val="71"/>
      <sheetName val="54"/>
      <sheetName val="БАЗА"/>
      <sheetName val="районы"/>
      <sheetName val="АпрельСт"/>
      <sheetName val="АпрельСтБФ"/>
      <sheetName val="I кварталСт"/>
      <sheetName val="4твеСт"/>
      <sheetName val="АпрельДз"/>
      <sheetName val="АпрельДзБФ"/>
      <sheetName val="АпрельДзБФ (-186,5)"/>
      <sheetName val="I кварталДз"/>
      <sheetName val="4твеДз"/>
      <sheetName val="аджария"/>
      <sheetName val="сахееби"/>
      <sheetName val="ганацилеба"/>
      <sheetName val="ганацилеба 4тв"/>
      <sheetName val="Модуль2"/>
      <sheetName val="Модуль3"/>
      <sheetName val="Модуль4"/>
      <sheetName val="Модуль5"/>
      <sheetName val="Модуль7"/>
      <sheetName val="Модуль9"/>
      <sheetName val="Модуль1"/>
      <sheetName val="Модуль6"/>
      <sheetName val="Модуль8"/>
      <sheetName val="Модуль10"/>
      <sheetName val="Модуль11"/>
      <sheetName val="01-04Дз"/>
      <sheetName val="01-04Дз$"/>
      <sheetName val="01-04Дз3%"/>
      <sheetName val="05Дз"/>
      <sheetName val="05Дз$"/>
      <sheetName val="05Дз3%"/>
      <sheetName val="01,11"/>
      <sheetName val="02,12"/>
      <sheetName val="03,04,13"/>
      <sheetName val="05-09,14"/>
      <sheetName val="15"/>
      <sheetName val="16-22"/>
      <sheetName val="25"/>
      <sheetName val="25 (0)"/>
      <sheetName val="30"/>
      <sheetName val="31"/>
      <sheetName val="32"/>
      <sheetName val="04 (114)"/>
      <sheetName val="33"/>
      <sheetName val="34-35"/>
      <sheetName val="36"/>
      <sheetName val="95"/>
      <sheetName val="ШемСах"/>
      <sheetName val="form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H2">
            <v>209669.90778857144</v>
          </cell>
        </row>
        <row r="3">
          <cell r="D3" t="str">
            <v>rjlb</v>
          </cell>
        </row>
        <row r="4">
          <cell r="X4">
            <v>796554.31285714277</v>
          </cell>
          <cell r="Y4">
            <v>557588.01899999997</v>
          </cell>
          <cell r="Z4">
            <v>209669.90778857144</v>
          </cell>
          <cell r="AA4">
            <v>29296.386068571432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ин резерви 5 тве "/>
      <sheetName val="чарби 5 тве"/>
      <sheetName val="мин резерви 6"/>
      <sheetName val="чарби 6"/>
      <sheetName val="чарби 7"/>
      <sheetName val="мин резерви  7"/>
      <sheetName val="чарби 8"/>
      <sheetName val="мин резерви 8 "/>
      <sheetName val="мосалоднели чарби "/>
      <sheetName val="мин резерви"/>
      <sheetName val="чарби"/>
      <sheetName val="Лист1"/>
      <sheetName val="чамонатвали"/>
      <sheetName val="реестри"/>
      <sheetName val="реестри (2)"/>
      <sheetName val="Г С"/>
      <sheetName val="гардамав"/>
      <sheetName val="Лист3"/>
      <sheetName val="капита "/>
      <sheetName val="Лист2"/>
      <sheetName val="економиа"/>
      <sheetName val="узен  резерв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2">
          <cell r="F62">
            <v>5323866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(2)"/>
      <sheetName val="гегма"/>
      <sheetName val="ФОРМА"/>
      <sheetName val="N1"/>
      <sheetName val="N1-1"/>
      <sheetName val="N1-2"/>
      <sheetName val="N1-4"/>
      <sheetName val="N1-3"/>
      <sheetName val="N1-5"/>
      <sheetName val="N2"/>
      <sheetName val="N2-1"/>
      <sheetName val="N2-2"/>
      <sheetName val="N2-3"/>
      <sheetName val="N 3"/>
      <sheetName val="N3-1"/>
      <sheetName val="N3-2"/>
      <sheetName val="N3-3"/>
      <sheetName val="N3-5"/>
      <sheetName val="N3-4"/>
      <sheetName val="N3-6"/>
      <sheetName val="N3-7"/>
      <sheetName val="N3-8"/>
      <sheetName val="N3-9"/>
      <sheetName val="дацмух назард"/>
      <sheetName val="дацмух"/>
      <sheetName val="sul"/>
      <sheetName val="2001-200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omber"/>
      <sheetName val="november"/>
      <sheetName val="december"/>
      <sheetName val="total 1"/>
      <sheetName val="ФОРМА"/>
      <sheetName val="ФОРМА (3)"/>
      <sheetName val="ФОРМА (2)"/>
      <sheetName val="ФОРМА (4)"/>
      <sheetName val="гег факти дарг"/>
      <sheetName val="total 1 (2)"/>
      <sheetName val="total 1 (3)"/>
      <sheetName val="total 1 (4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30ED1-62CB-4D93-A027-0FAE604F4299}">
  <sheetPr>
    <tabColor theme="9" tint="0.39997558519241921"/>
  </sheetPr>
  <dimension ref="A1:N336"/>
  <sheetViews>
    <sheetView tabSelected="1" zoomScale="115" zoomScaleNormal="115" workbookViewId="0">
      <pane xSplit="2" ySplit="3" topLeftCell="C4" activePane="bottomRight" state="frozen"/>
      <selection activeCell="D191" sqref="D191"/>
      <selection pane="topRight" activeCell="D191" sqref="D191"/>
      <selection pane="bottomLeft" activeCell="D191" sqref="D191"/>
      <selection pane="bottomRight" activeCell="B6" sqref="B6"/>
    </sheetView>
  </sheetViews>
  <sheetFormatPr defaultRowHeight="14.4"/>
  <cols>
    <col min="1" max="1" width="12.33203125" style="8" customWidth="1"/>
    <col min="2" max="2" width="86.6640625" style="8" customWidth="1"/>
    <col min="3" max="6" width="13.5546875" style="8" hidden="1" customWidth="1"/>
    <col min="7" max="7" width="17" style="8" customWidth="1"/>
    <col min="8" max="11" width="13.5546875" style="8" hidden="1" customWidth="1"/>
    <col min="12" max="12" width="49.5546875" style="10" hidden="1" customWidth="1"/>
    <col min="13" max="13" width="24.109375" customWidth="1"/>
  </cols>
  <sheetData>
    <row r="1" spans="1:14" ht="105.75" customHeight="1">
      <c r="A1" s="33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4" ht="60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106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5"/>
    </row>
    <row r="4" spans="1:14">
      <c r="A4" s="6">
        <v>1</v>
      </c>
      <c r="B4" s="6">
        <v>2</v>
      </c>
      <c r="C4" s="6">
        <v>3</v>
      </c>
      <c r="D4" s="6"/>
      <c r="E4" s="6"/>
      <c r="F4" s="6">
        <v>5</v>
      </c>
      <c r="G4" s="6"/>
      <c r="H4" s="6"/>
      <c r="I4" s="6">
        <v>9</v>
      </c>
      <c r="J4" s="6">
        <v>10</v>
      </c>
      <c r="K4" s="6">
        <v>11</v>
      </c>
      <c r="L4" s="7"/>
    </row>
    <row r="5" spans="1:14" s="16" customFormat="1">
      <c r="A5" s="11" t="s">
        <v>11</v>
      </c>
      <c r="B5" s="12" t="s">
        <v>12</v>
      </c>
      <c r="C5" s="13">
        <f>SUM(C16,C27,C60,C71,C82,C93,C126,C159,C236,C247)</f>
        <v>44890.159999999996</v>
      </c>
      <c r="D5" s="13">
        <f>SUM(D16,D27,D60,D71,D82,D93,D126,D159,D236,D247)</f>
        <v>4188.63</v>
      </c>
      <c r="E5" s="13">
        <f t="shared" ref="E5:H5" si="0">SUM(E16,E27,E60,E71,E82,E93,E126,E159,E236,E247)</f>
        <v>84.5</v>
      </c>
      <c r="F5" s="13">
        <f t="shared" si="0"/>
        <v>4511.5370000000003</v>
      </c>
      <c r="G5" s="13">
        <f t="shared" si="0"/>
        <v>44482.654999999999</v>
      </c>
      <c r="H5" s="13">
        <f t="shared" si="0"/>
        <v>-407.50499999999988</v>
      </c>
      <c r="I5" s="13" t="e">
        <f>I16+I247+#REF!+#REF!+#REF!+#REF!+#REF!+#REF!+#REF!+#REF!</f>
        <v>#REF!</v>
      </c>
      <c r="J5" s="13" t="e">
        <f>J16+J247+#REF!+#REF!+#REF!+#REF!+#REF!+#REF!+#REF!+#REF!</f>
        <v>#REF!</v>
      </c>
      <c r="K5" s="13" t="e">
        <f>K16+K247+#REF!+#REF!+#REF!+#REF!+#REF!+#REF!+#REF!+#REF!</f>
        <v>#REF!</v>
      </c>
      <c r="L5" s="14"/>
      <c r="M5" s="15"/>
      <c r="N5" s="15"/>
    </row>
    <row r="6" spans="1:14" s="16" customFormat="1">
      <c r="A6" s="11" t="s">
        <v>13</v>
      </c>
      <c r="B6" s="17" t="s">
        <v>14</v>
      </c>
      <c r="C6" s="18">
        <f t="shared" ref="C6:H15" si="1">SUM(C17,C28,C61,C72,C83,C94,C127,C160,C237,C248)</f>
        <v>1854</v>
      </c>
      <c r="D6" s="18">
        <f t="shared" si="1"/>
        <v>39</v>
      </c>
      <c r="E6" s="18">
        <f t="shared" si="1"/>
        <v>0</v>
      </c>
      <c r="F6" s="18">
        <f t="shared" si="1"/>
        <v>0</v>
      </c>
      <c r="G6" s="18">
        <f t="shared" si="1"/>
        <v>1893</v>
      </c>
      <c r="H6" s="18">
        <f t="shared" si="1"/>
        <v>39</v>
      </c>
      <c r="I6" s="18" t="e">
        <f>I17+I248+#REF!+#REF!+#REF!+#REF!+#REF!+#REF!+#REF!+#REF!</f>
        <v>#REF!</v>
      </c>
      <c r="J6" s="18" t="e">
        <f>J17+J248+#REF!+#REF!+#REF!+#REF!+#REF!+#REF!+#REF!+#REF!</f>
        <v>#REF!</v>
      </c>
      <c r="K6" s="18" t="e">
        <f>K17+K248+#REF!+#REF!+#REF!+#REF!+#REF!+#REF!+#REF!+#REF!</f>
        <v>#REF!</v>
      </c>
      <c r="L6" s="19"/>
      <c r="M6" s="15"/>
    </row>
    <row r="7" spans="1:14" s="16" customFormat="1">
      <c r="A7" s="11" t="s">
        <v>13</v>
      </c>
      <c r="B7" s="17" t="s">
        <v>15</v>
      </c>
      <c r="C7" s="18">
        <f t="shared" si="1"/>
        <v>146</v>
      </c>
      <c r="D7" s="18">
        <f t="shared" si="1"/>
        <v>34</v>
      </c>
      <c r="E7" s="18">
        <f t="shared" si="1"/>
        <v>0</v>
      </c>
      <c r="F7" s="18">
        <f t="shared" si="1"/>
        <v>0</v>
      </c>
      <c r="G7" s="18">
        <f t="shared" si="1"/>
        <v>180</v>
      </c>
      <c r="H7" s="18">
        <f t="shared" si="1"/>
        <v>34</v>
      </c>
      <c r="I7" s="18" t="e">
        <f>I18+I249+#REF!+#REF!+#REF!+#REF!+#REF!+#REF!+#REF!+#REF!</f>
        <v>#REF!</v>
      </c>
      <c r="J7" s="18" t="e">
        <f>J18+J249+#REF!+#REF!+#REF!+#REF!+#REF!+#REF!+#REF!+#REF!</f>
        <v>#REF!</v>
      </c>
      <c r="K7" s="18" t="e">
        <f>K18+K249+#REF!+#REF!+#REF!+#REF!+#REF!+#REF!+#REF!+#REF!</f>
        <v>#REF!</v>
      </c>
      <c r="L7" s="19"/>
      <c r="M7" s="15"/>
    </row>
    <row r="8" spans="1:14" s="16" customFormat="1">
      <c r="A8" s="11" t="s">
        <v>13</v>
      </c>
      <c r="B8" s="17" t="s">
        <v>16</v>
      </c>
      <c r="C8" s="18">
        <f t="shared" si="1"/>
        <v>36548.26</v>
      </c>
      <c r="D8" s="18">
        <f t="shared" si="1"/>
        <v>2630.63</v>
      </c>
      <c r="E8" s="18">
        <f t="shared" si="1"/>
        <v>64.5</v>
      </c>
      <c r="F8" s="18">
        <f t="shared" si="1"/>
        <v>4464.1270000000004</v>
      </c>
      <c r="G8" s="18">
        <f t="shared" si="1"/>
        <v>34650.164999999994</v>
      </c>
      <c r="H8" s="18">
        <f t="shared" si="1"/>
        <v>-1898.095</v>
      </c>
      <c r="I8" s="18" t="e">
        <f>I19+I250+#REF!+#REF!+#REF!+#REF!+#REF!+#REF!+#REF!+#REF!</f>
        <v>#REF!</v>
      </c>
      <c r="J8" s="18" t="e">
        <f>J19+J250+#REF!+#REF!+#REF!+#REF!+#REF!+#REF!+#REF!+#REF!</f>
        <v>#REF!</v>
      </c>
      <c r="K8" s="18" t="e">
        <f>K19+K250+#REF!+#REF!+#REF!+#REF!+#REF!+#REF!+#REF!+#REF!</f>
        <v>#REF!</v>
      </c>
      <c r="L8" s="19"/>
    </row>
    <row r="9" spans="1:14" s="16" customFormat="1">
      <c r="A9" s="11" t="s">
        <v>13</v>
      </c>
      <c r="B9" s="20" t="s">
        <v>17</v>
      </c>
      <c r="C9" s="18">
        <f t="shared" si="1"/>
        <v>23962.44</v>
      </c>
      <c r="D9" s="18">
        <f t="shared" si="1"/>
        <v>1568.33</v>
      </c>
      <c r="E9" s="18">
        <f t="shared" si="1"/>
        <v>0</v>
      </c>
      <c r="F9" s="18">
        <f t="shared" si="1"/>
        <v>3896.1930000000002</v>
      </c>
      <c r="G9" s="18">
        <f t="shared" si="1"/>
        <v>21634.577000000001</v>
      </c>
      <c r="H9" s="18">
        <f t="shared" si="1"/>
        <v>-2327.8629999999998</v>
      </c>
      <c r="I9" s="18" t="e">
        <f>I20+I251+#REF!+#REF!+#REF!+#REF!+#REF!+#REF!+#REF!+#REF!</f>
        <v>#REF!</v>
      </c>
      <c r="J9" s="18" t="e">
        <f>J20+J251+#REF!+#REF!+#REF!+#REF!+#REF!+#REF!+#REF!+#REF!</f>
        <v>#REF!</v>
      </c>
      <c r="K9" s="18" t="e">
        <f>K20+K251+#REF!+#REF!+#REF!+#REF!+#REF!+#REF!+#REF!+#REF!</f>
        <v>#REF!</v>
      </c>
      <c r="L9" s="19"/>
    </row>
    <row r="10" spans="1:14" s="16" customFormat="1">
      <c r="A10" s="11" t="s">
        <v>13</v>
      </c>
      <c r="B10" s="20" t="s">
        <v>18</v>
      </c>
      <c r="C10" s="18">
        <f t="shared" si="1"/>
        <v>10389.6</v>
      </c>
      <c r="D10" s="18">
        <f t="shared" si="1"/>
        <v>1017.3</v>
      </c>
      <c r="E10" s="18">
        <f t="shared" si="1"/>
        <v>64.5</v>
      </c>
      <c r="F10" s="18">
        <f t="shared" si="1"/>
        <v>565.81899999999996</v>
      </c>
      <c r="G10" s="18">
        <f t="shared" si="1"/>
        <v>10776.483</v>
      </c>
      <c r="H10" s="18">
        <f t="shared" si="1"/>
        <v>386.8830000000001</v>
      </c>
      <c r="I10" s="18" t="e">
        <f>I21+I252+#REF!+#REF!+#REF!+#REF!+#REF!+#REF!+#REF!+#REF!</f>
        <v>#REF!</v>
      </c>
      <c r="J10" s="18" t="e">
        <f>J21+J252+#REF!+#REF!+#REF!+#REF!+#REF!+#REF!+#REF!+#REF!</f>
        <v>#REF!</v>
      </c>
      <c r="K10" s="18" t="e">
        <f>K21+K252+#REF!+#REF!+#REF!+#REF!+#REF!+#REF!+#REF!+#REF!</f>
        <v>#REF!</v>
      </c>
      <c r="L10" s="19"/>
    </row>
    <row r="11" spans="1:14" s="16" customFormat="1">
      <c r="A11" s="11"/>
      <c r="B11" s="20" t="s">
        <v>19</v>
      </c>
      <c r="C11" s="18">
        <f t="shared" si="1"/>
        <v>1400</v>
      </c>
      <c r="D11" s="18">
        <f t="shared" si="1"/>
        <v>0</v>
      </c>
      <c r="E11" s="18">
        <f t="shared" si="1"/>
        <v>0</v>
      </c>
      <c r="F11" s="18">
        <f t="shared" si="1"/>
        <v>0</v>
      </c>
      <c r="G11" s="18">
        <f t="shared" si="1"/>
        <v>1400</v>
      </c>
      <c r="H11" s="18">
        <f t="shared" si="1"/>
        <v>0</v>
      </c>
      <c r="I11" s="18" t="e">
        <f>I22+I253+#REF!+#REF!+#REF!+#REF!+#REF!+#REF!+#REF!+#REF!</f>
        <v>#REF!</v>
      </c>
      <c r="J11" s="18" t="e">
        <f>J22+J253+#REF!+#REF!+#REF!+#REF!+#REF!+#REF!+#REF!+#REF!</f>
        <v>#REF!</v>
      </c>
      <c r="K11" s="18" t="e">
        <f>K22+K253+#REF!+#REF!+#REF!+#REF!+#REF!+#REF!+#REF!+#REF!</f>
        <v>#REF!</v>
      </c>
      <c r="L11" s="19"/>
    </row>
    <row r="12" spans="1:14" s="16" customFormat="1">
      <c r="A12" s="11" t="s">
        <v>13</v>
      </c>
      <c r="B12" s="20" t="s">
        <v>20</v>
      </c>
      <c r="C12" s="18">
        <f t="shared" si="1"/>
        <v>240</v>
      </c>
      <c r="D12" s="18">
        <f t="shared" si="1"/>
        <v>0</v>
      </c>
      <c r="E12" s="18">
        <f t="shared" si="1"/>
        <v>0</v>
      </c>
      <c r="F12" s="18">
        <f t="shared" si="1"/>
        <v>2.09</v>
      </c>
      <c r="G12" s="18">
        <f t="shared" si="1"/>
        <v>237.91</v>
      </c>
      <c r="H12" s="18">
        <f t="shared" si="1"/>
        <v>-2.0900000000000034</v>
      </c>
      <c r="I12" s="18" t="e">
        <f>I23+I254+#REF!+#REF!+#REF!+#REF!+#REF!+#REF!+#REF!+#REF!</f>
        <v>#REF!</v>
      </c>
      <c r="J12" s="18" t="e">
        <f>J23+J254+#REF!+#REF!+#REF!+#REF!+#REF!+#REF!+#REF!+#REF!</f>
        <v>#REF!</v>
      </c>
      <c r="K12" s="18" t="e">
        <f>K23+K254+#REF!+#REF!+#REF!+#REF!+#REF!+#REF!+#REF!+#REF!</f>
        <v>#REF!</v>
      </c>
      <c r="L12" s="19"/>
    </row>
    <row r="13" spans="1:14" s="16" customFormat="1">
      <c r="A13" s="11" t="s">
        <v>13</v>
      </c>
      <c r="B13" s="20" t="s">
        <v>21</v>
      </c>
      <c r="C13" s="18">
        <f t="shared" si="1"/>
        <v>0</v>
      </c>
      <c r="D13" s="18">
        <f t="shared" si="1"/>
        <v>20</v>
      </c>
      <c r="E13" s="18">
        <f t="shared" si="1"/>
        <v>0</v>
      </c>
      <c r="F13" s="18">
        <f t="shared" si="1"/>
        <v>0</v>
      </c>
      <c r="G13" s="18">
        <f t="shared" si="1"/>
        <v>20</v>
      </c>
      <c r="H13" s="18">
        <f t="shared" si="1"/>
        <v>20</v>
      </c>
      <c r="I13" s="18" t="e">
        <f>I24+I255+#REF!+#REF!+#REF!+#REF!+#REF!+#REF!+#REF!+#REF!</f>
        <v>#REF!</v>
      </c>
      <c r="J13" s="18" t="e">
        <f>J24+J255+#REF!+#REF!+#REF!+#REF!+#REF!+#REF!+#REF!+#REF!</f>
        <v>#REF!</v>
      </c>
      <c r="K13" s="18" t="e">
        <f>K24+K255+#REF!+#REF!+#REF!+#REF!+#REF!+#REF!+#REF!+#REF!</f>
        <v>#REF!</v>
      </c>
      <c r="L13" s="19"/>
    </row>
    <row r="14" spans="1:14" s="16" customFormat="1">
      <c r="A14" s="11" t="s">
        <v>13</v>
      </c>
      <c r="B14" s="20" t="s">
        <v>22</v>
      </c>
      <c r="C14" s="18">
        <f t="shared" si="1"/>
        <v>556.21999999999991</v>
      </c>
      <c r="D14" s="18">
        <f t="shared" si="1"/>
        <v>25</v>
      </c>
      <c r="E14" s="18">
        <f t="shared" si="1"/>
        <v>0</v>
      </c>
      <c r="F14" s="18">
        <f t="shared" si="1"/>
        <v>2.5000000000000001E-2</v>
      </c>
      <c r="G14" s="18">
        <f t="shared" si="1"/>
        <v>581.19500000000005</v>
      </c>
      <c r="H14" s="18">
        <f t="shared" si="1"/>
        <v>24.975000000000001</v>
      </c>
      <c r="I14" s="18" t="e">
        <f>I25+I256+#REF!+#REF!+#REF!+#REF!+#REF!+#REF!+#REF!+#REF!</f>
        <v>#REF!</v>
      </c>
      <c r="J14" s="18" t="e">
        <f>J25+J256+#REF!+#REF!+#REF!+#REF!+#REF!+#REF!+#REF!+#REF!</f>
        <v>#REF!</v>
      </c>
      <c r="K14" s="18" t="e">
        <f>K25+K256+#REF!+#REF!+#REF!+#REF!+#REF!+#REF!+#REF!+#REF!</f>
        <v>#REF!</v>
      </c>
      <c r="L14" s="19"/>
    </row>
    <row r="15" spans="1:14" s="16" customFormat="1">
      <c r="A15" s="11" t="s">
        <v>13</v>
      </c>
      <c r="B15" s="17" t="s">
        <v>23</v>
      </c>
      <c r="C15" s="18">
        <f t="shared" si="1"/>
        <v>8341.9000000000015</v>
      </c>
      <c r="D15" s="18">
        <f t="shared" si="1"/>
        <v>1558</v>
      </c>
      <c r="E15" s="18">
        <f t="shared" si="1"/>
        <v>20</v>
      </c>
      <c r="F15" s="18">
        <f t="shared" si="1"/>
        <v>47.41</v>
      </c>
      <c r="G15" s="18">
        <f t="shared" si="1"/>
        <v>9832.49</v>
      </c>
      <c r="H15" s="18">
        <f t="shared" si="1"/>
        <v>1490.5900000000001</v>
      </c>
      <c r="I15" s="18" t="e">
        <f>I26+I257+#REF!+#REF!+#REF!+#REF!+#REF!+#REF!+#REF!+#REF!</f>
        <v>#REF!</v>
      </c>
      <c r="J15" s="18" t="e">
        <f>J26+J257+#REF!+#REF!+#REF!+#REF!+#REF!+#REF!+#REF!+#REF!</f>
        <v>#REF!</v>
      </c>
      <c r="K15" s="18" t="e">
        <f>K26+K257+#REF!+#REF!+#REF!+#REF!+#REF!+#REF!+#REF!+#REF!</f>
        <v>#REF!</v>
      </c>
      <c r="L15" s="19"/>
    </row>
    <row r="16" spans="1:14" s="16" customFormat="1">
      <c r="A16" s="11" t="s">
        <v>24</v>
      </c>
      <c r="B16" s="12" t="s">
        <v>25</v>
      </c>
      <c r="C16" s="21">
        <f t="shared" ref="C16" si="2">C19+C26</f>
        <v>0</v>
      </c>
      <c r="D16" s="21">
        <f>D19+D26</f>
        <v>3144.13</v>
      </c>
      <c r="E16" s="21">
        <f t="shared" ref="E16:H16" si="3">E19+E26</f>
        <v>0</v>
      </c>
      <c r="F16" s="21">
        <f t="shared" si="3"/>
        <v>0</v>
      </c>
      <c r="G16" s="21">
        <f t="shared" si="3"/>
        <v>3144.13</v>
      </c>
      <c r="H16" s="21">
        <f t="shared" si="3"/>
        <v>3144.13</v>
      </c>
      <c r="I16" s="21">
        <f>I19+I26</f>
        <v>0</v>
      </c>
      <c r="J16" s="21">
        <f t="shared" ref="J16:K16" si="4">J19+J26</f>
        <v>0</v>
      </c>
      <c r="K16" s="21">
        <f t="shared" si="4"/>
        <v>0</v>
      </c>
      <c r="L16" s="19"/>
      <c r="M16" s="15"/>
      <c r="N16" s="15"/>
    </row>
    <row r="17" spans="1:14" s="16" customFormat="1">
      <c r="A17" s="11" t="s">
        <v>13</v>
      </c>
      <c r="B17" s="17" t="s">
        <v>14</v>
      </c>
      <c r="C17" s="18"/>
      <c r="D17" s="18">
        <v>39</v>
      </c>
      <c r="E17" s="18"/>
      <c r="F17" s="18"/>
      <c r="G17" s="18">
        <f>C17+D17-E17-F17</f>
        <v>39</v>
      </c>
      <c r="H17" s="18">
        <f>G17-C17</f>
        <v>39</v>
      </c>
      <c r="I17" s="18"/>
      <c r="J17" s="18"/>
      <c r="K17" s="18"/>
      <c r="L17" s="19"/>
    </row>
    <row r="18" spans="1:14" s="16" customFormat="1">
      <c r="A18" s="11" t="s">
        <v>13</v>
      </c>
      <c r="B18" s="17" t="s">
        <v>15</v>
      </c>
      <c r="C18" s="18"/>
      <c r="D18" s="18">
        <v>22</v>
      </c>
      <c r="E18" s="18"/>
      <c r="F18" s="18"/>
      <c r="G18" s="18">
        <v>22</v>
      </c>
      <c r="H18" s="18">
        <f>G18-C18</f>
        <v>22</v>
      </c>
      <c r="I18" s="18"/>
      <c r="J18" s="18"/>
      <c r="K18" s="18"/>
      <c r="L18" s="19"/>
    </row>
    <row r="19" spans="1:14" s="16" customFormat="1">
      <c r="A19" s="11" t="s">
        <v>13</v>
      </c>
      <c r="B19" s="17" t="s">
        <v>16</v>
      </c>
      <c r="C19" s="18">
        <f t="shared" ref="C19:K19" si="5">C20+C21+C22+C23+C24+C25</f>
        <v>0</v>
      </c>
      <c r="D19" s="18">
        <f>D20+D21+D22+D23+D24+D25</f>
        <v>2571.13</v>
      </c>
      <c r="E19" s="18">
        <f t="shared" ref="E19:H19" si="6">E20+E21+E22+E23+E24+E25</f>
        <v>0</v>
      </c>
      <c r="F19" s="18">
        <f t="shared" si="6"/>
        <v>0</v>
      </c>
      <c r="G19" s="18">
        <f t="shared" si="6"/>
        <v>2571.13</v>
      </c>
      <c r="H19" s="18">
        <f t="shared" si="6"/>
        <v>2571.13</v>
      </c>
      <c r="I19" s="18">
        <f t="shared" si="5"/>
        <v>0</v>
      </c>
      <c r="J19" s="18">
        <f t="shared" si="5"/>
        <v>0</v>
      </c>
      <c r="K19" s="18">
        <f t="shared" si="5"/>
        <v>0</v>
      </c>
      <c r="L19" s="19"/>
      <c r="M19" s="15"/>
    </row>
    <row r="20" spans="1:14" s="16" customFormat="1">
      <c r="A20" s="11" t="s">
        <v>13</v>
      </c>
      <c r="B20" s="20" t="s">
        <v>17</v>
      </c>
      <c r="C20" s="18"/>
      <c r="D20" s="18">
        <v>1568.33</v>
      </c>
      <c r="E20" s="18"/>
      <c r="F20" s="18"/>
      <c r="G20" s="18">
        <f>C20+D20-E20-F20</f>
        <v>1568.33</v>
      </c>
      <c r="H20" s="18">
        <f t="shared" ref="H20:H25" si="7">G20-C20</f>
        <v>1568.33</v>
      </c>
      <c r="I20" s="18"/>
      <c r="J20" s="18"/>
      <c r="K20" s="18"/>
      <c r="L20" s="19"/>
    </row>
    <row r="21" spans="1:14" s="16" customFormat="1">
      <c r="A21" s="11" t="s">
        <v>13</v>
      </c>
      <c r="B21" s="20" t="s">
        <v>18</v>
      </c>
      <c r="C21" s="18"/>
      <c r="D21" s="18">
        <v>977.8</v>
      </c>
      <c r="E21" s="18"/>
      <c r="F21" s="18"/>
      <c r="G21" s="18">
        <v>977.8</v>
      </c>
      <c r="H21" s="18">
        <f t="shared" si="7"/>
        <v>977.8</v>
      </c>
      <c r="I21" s="18"/>
      <c r="J21" s="18"/>
      <c r="K21" s="18"/>
      <c r="L21" s="19"/>
      <c r="N21" s="15"/>
    </row>
    <row r="22" spans="1:14" s="16" customFormat="1">
      <c r="A22" s="11"/>
      <c r="B22" s="20" t="s">
        <v>19</v>
      </c>
      <c r="C22" s="18"/>
      <c r="D22" s="18"/>
      <c r="E22" s="18"/>
      <c r="F22" s="18"/>
      <c r="G22" s="18">
        <f>C22+D22-E22-F22</f>
        <v>0</v>
      </c>
      <c r="H22" s="18">
        <f t="shared" si="7"/>
        <v>0</v>
      </c>
      <c r="I22" s="18"/>
      <c r="J22" s="18"/>
      <c r="K22" s="18"/>
      <c r="L22" s="19"/>
    </row>
    <row r="23" spans="1:14" s="16" customFormat="1">
      <c r="A23" s="11" t="s">
        <v>13</v>
      </c>
      <c r="B23" s="20" t="s">
        <v>20</v>
      </c>
      <c r="C23" s="18"/>
      <c r="D23" s="18"/>
      <c r="E23" s="18"/>
      <c r="F23" s="18"/>
      <c r="G23" s="18">
        <f>C23+D23-E23-F23</f>
        <v>0</v>
      </c>
      <c r="H23" s="18">
        <f t="shared" si="7"/>
        <v>0</v>
      </c>
      <c r="I23" s="18"/>
      <c r="J23" s="18"/>
      <c r="K23" s="18"/>
      <c r="L23" s="19"/>
    </row>
    <row r="24" spans="1:14" s="16" customFormat="1">
      <c r="A24" s="11" t="s">
        <v>13</v>
      </c>
      <c r="B24" s="20" t="s">
        <v>21</v>
      </c>
      <c r="C24" s="18"/>
      <c r="D24" s="18"/>
      <c r="E24" s="18"/>
      <c r="F24" s="18"/>
      <c r="G24" s="18">
        <f>C24+D24-E24-F24</f>
        <v>0</v>
      </c>
      <c r="H24" s="18">
        <f t="shared" si="7"/>
        <v>0</v>
      </c>
      <c r="I24" s="18"/>
      <c r="J24" s="18"/>
      <c r="K24" s="18"/>
      <c r="L24" s="19"/>
    </row>
    <row r="25" spans="1:14" s="16" customFormat="1">
      <c r="A25" s="11" t="s">
        <v>13</v>
      </c>
      <c r="B25" s="20" t="s">
        <v>22</v>
      </c>
      <c r="C25" s="18"/>
      <c r="D25" s="18">
        <v>25</v>
      </c>
      <c r="E25" s="18"/>
      <c r="F25" s="18"/>
      <c r="G25" s="18">
        <f>C25+D25-E25-F25</f>
        <v>25</v>
      </c>
      <c r="H25" s="18">
        <f t="shared" si="7"/>
        <v>25</v>
      </c>
      <c r="I25" s="18"/>
      <c r="J25" s="18"/>
      <c r="K25" s="18"/>
      <c r="L25" s="19"/>
      <c r="M25" s="15"/>
      <c r="N25" s="15"/>
    </row>
    <row r="26" spans="1:14" s="16" customFormat="1" ht="55.2">
      <c r="A26" s="11" t="s">
        <v>13</v>
      </c>
      <c r="B26" s="17" t="s">
        <v>23</v>
      </c>
      <c r="C26" s="18"/>
      <c r="D26" s="18">
        <v>573</v>
      </c>
      <c r="E26" s="18"/>
      <c r="F26" s="18"/>
      <c r="G26" s="18">
        <v>573</v>
      </c>
      <c r="H26" s="18">
        <f>50+320+203</f>
        <v>573</v>
      </c>
      <c r="I26" s="18"/>
      <c r="J26" s="18"/>
      <c r="K26" s="18"/>
      <c r="L26" s="22" t="s">
        <v>26</v>
      </c>
    </row>
    <row r="27" spans="1:14" s="16" customFormat="1">
      <c r="A27" s="11" t="s">
        <v>27</v>
      </c>
      <c r="B27" s="12" t="s">
        <v>28</v>
      </c>
      <c r="C27" s="13">
        <v>2695.77</v>
      </c>
      <c r="D27" s="13">
        <f>SUM(D38,D49)</f>
        <v>0</v>
      </c>
      <c r="E27" s="13">
        <f t="shared" ref="E27:H27" si="8">SUM(E38,E49)</f>
        <v>55</v>
      </c>
      <c r="F27" s="13">
        <f t="shared" si="8"/>
        <v>3.2</v>
      </c>
      <c r="G27" s="13">
        <f t="shared" si="8"/>
        <v>2637.5699999999997</v>
      </c>
      <c r="H27" s="21">
        <f t="shared" si="8"/>
        <v>-58.200000000000045</v>
      </c>
      <c r="I27" s="21">
        <v>2348.1999999999998</v>
      </c>
      <c r="J27" s="21">
        <v>2348.1999999999998</v>
      </c>
      <c r="K27" s="21">
        <v>2348.1999999999998</v>
      </c>
      <c r="L27" s="19"/>
      <c r="M27" s="15"/>
    </row>
    <row r="28" spans="1:14" s="16" customFormat="1">
      <c r="A28" s="11" t="s">
        <v>13</v>
      </c>
      <c r="B28" s="17" t="s">
        <v>14</v>
      </c>
      <c r="C28" s="18">
        <v>0</v>
      </c>
      <c r="D28" s="18">
        <f t="shared" ref="D28:H37" si="9">SUM(D39,D50)</f>
        <v>0</v>
      </c>
      <c r="E28" s="18">
        <f t="shared" si="9"/>
        <v>0</v>
      </c>
      <c r="F28" s="18">
        <f t="shared" si="9"/>
        <v>0</v>
      </c>
      <c r="G28" s="18">
        <f t="shared" si="9"/>
        <v>0</v>
      </c>
      <c r="H28" s="18">
        <f t="shared" si="9"/>
        <v>0</v>
      </c>
      <c r="I28" s="18">
        <v>0</v>
      </c>
      <c r="J28" s="18">
        <v>0</v>
      </c>
      <c r="K28" s="18">
        <v>0</v>
      </c>
      <c r="L28" s="19"/>
    </row>
    <row r="29" spans="1:14" s="16" customFormat="1">
      <c r="A29" s="11" t="s">
        <v>13</v>
      </c>
      <c r="B29" s="17" t="s">
        <v>15</v>
      </c>
      <c r="C29" s="18">
        <v>0</v>
      </c>
      <c r="D29" s="18">
        <f t="shared" si="9"/>
        <v>0</v>
      </c>
      <c r="E29" s="18">
        <f t="shared" si="9"/>
        <v>0</v>
      </c>
      <c r="F29" s="18">
        <f t="shared" si="9"/>
        <v>0</v>
      </c>
      <c r="G29" s="18">
        <f t="shared" si="9"/>
        <v>0</v>
      </c>
      <c r="H29" s="18">
        <f t="shared" si="9"/>
        <v>0</v>
      </c>
      <c r="I29" s="18">
        <v>0</v>
      </c>
      <c r="J29" s="18">
        <v>0</v>
      </c>
      <c r="K29" s="18">
        <v>0</v>
      </c>
      <c r="L29" s="19"/>
    </row>
    <row r="30" spans="1:14" s="16" customFormat="1">
      <c r="A30" s="11" t="s">
        <v>13</v>
      </c>
      <c r="B30" s="17" t="s">
        <v>16</v>
      </c>
      <c r="C30" s="18">
        <v>2695.77</v>
      </c>
      <c r="D30" s="18">
        <f t="shared" si="9"/>
        <v>0</v>
      </c>
      <c r="E30" s="18">
        <f t="shared" si="9"/>
        <v>55</v>
      </c>
      <c r="F30" s="18">
        <f t="shared" si="9"/>
        <v>3.2</v>
      </c>
      <c r="G30" s="18">
        <f t="shared" si="9"/>
        <v>2637.5699999999997</v>
      </c>
      <c r="H30" s="18">
        <f t="shared" si="9"/>
        <v>-58.200000000000045</v>
      </c>
      <c r="I30" s="18">
        <v>0</v>
      </c>
      <c r="J30" s="18">
        <v>0</v>
      </c>
      <c r="K30" s="18">
        <v>0</v>
      </c>
      <c r="L30" s="19"/>
    </row>
    <row r="31" spans="1:14" s="16" customFormat="1">
      <c r="A31" s="11" t="s">
        <v>13</v>
      </c>
      <c r="B31" s="20" t="s">
        <v>17</v>
      </c>
      <c r="C31" s="18">
        <v>0</v>
      </c>
      <c r="D31" s="18">
        <f t="shared" si="9"/>
        <v>0</v>
      </c>
      <c r="E31" s="18">
        <f t="shared" si="9"/>
        <v>0</v>
      </c>
      <c r="F31" s="18">
        <f t="shared" si="9"/>
        <v>0</v>
      </c>
      <c r="G31" s="18">
        <f t="shared" si="9"/>
        <v>0</v>
      </c>
      <c r="H31" s="18">
        <f t="shared" si="9"/>
        <v>0</v>
      </c>
      <c r="I31" s="18">
        <v>0</v>
      </c>
      <c r="J31" s="18">
        <v>0</v>
      </c>
      <c r="K31" s="18">
        <v>0</v>
      </c>
      <c r="L31" s="19"/>
    </row>
    <row r="32" spans="1:14" s="16" customFormat="1" ht="36.6">
      <c r="A32" s="11" t="s">
        <v>13</v>
      </c>
      <c r="B32" s="20" t="s">
        <v>18</v>
      </c>
      <c r="C32" s="18">
        <v>1245.77</v>
      </c>
      <c r="D32" s="18">
        <f t="shared" si="9"/>
        <v>0</v>
      </c>
      <c r="E32" s="18">
        <f t="shared" si="9"/>
        <v>55</v>
      </c>
      <c r="F32" s="18">
        <f t="shared" si="9"/>
        <v>3.2</v>
      </c>
      <c r="G32" s="18">
        <f t="shared" si="9"/>
        <v>1187.57</v>
      </c>
      <c r="H32" s="18">
        <f t="shared" si="9"/>
        <v>-58.200000000000045</v>
      </c>
      <c r="I32" s="18">
        <v>0</v>
      </c>
      <c r="J32" s="18">
        <v>0</v>
      </c>
      <c r="K32" s="18">
        <v>0</v>
      </c>
      <c r="L32" s="23" t="s">
        <v>29</v>
      </c>
    </row>
    <row r="33" spans="1:13" s="16" customFormat="1">
      <c r="A33" s="11"/>
      <c r="B33" s="20" t="s">
        <v>19</v>
      </c>
      <c r="C33" s="18">
        <v>1400</v>
      </c>
      <c r="D33" s="18">
        <f t="shared" si="9"/>
        <v>0</v>
      </c>
      <c r="E33" s="18">
        <f t="shared" si="9"/>
        <v>0</v>
      </c>
      <c r="F33" s="18">
        <f t="shared" si="9"/>
        <v>0</v>
      </c>
      <c r="G33" s="18">
        <f t="shared" si="9"/>
        <v>1400</v>
      </c>
      <c r="H33" s="18">
        <f t="shared" si="9"/>
        <v>0</v>
      </c>
      <c r="I33" s="18">
        <v>0</v>
      </c>
      <c r="J33" s="18">
        <v>0</v>
      </c>
      <c r="K33" s="18">
        <v>0</v>
      </c>
      <c r="L33" s="19"/>
    </row>
    <row r="34" spans="1:13" s="16" customFormat="1">
      <c r="A34" s="11" t="s">
        <v>13</v>
      </c>
      <c r="B34" s="20" t="s">
        <v>20</v>
      </c>
      <c r="C34" s="18">
        <v>0</v>
      </c>
      <c r="D34" s="18">
        <f t="shared" si="9"/>
        <v>0</v>
      </c>
      <c r="E34" s="18">
        <f t="shared" si="9"/>
        <v>0</v>
      </c>
      <c r="F34" s="18">
        <f t="shared" si="9"/>
        <v>0</v>
      </c>
      <c r="G34" s="18">
        <f t="shared" si="9"/>
        <v>0</v>
      </c>
      <c r="H34" s="18">
        <f t="shared" si="9"/>
        <v>0</v>
      </c>
      <c r="I34" s="18">
        <v>0</v>
      </c>
      <c r="J34" s="18">
        <v>0</v>
      </c>
      <c r="K34" s="18">
        <v>0</v>
      </c>
      <c r="L34" s="19"/>
    </row>
    <row r="35" spans="1:13" s="16" customFormat="1">
      <c r="A35" s="11" t="s">
        <v>13</v>
      </c>
      <c r="B35" s="20" t="s">
        <v>21</v>
      </c>
      <c r="C35" s="18">
        <v>0</v>
      </c>
      <c r="D35" s="18">
        <f t="shared" si="9"/>
        <v>0</v>
      </c>
      <c r="E35" s="18">
        <f t="shared" si="9"/>
        <v>0</v>
      </c>
      <c r="F35" s="18">
        <f t="shared" si="9"/>
        <v>0</v>
      </c>
      <c r="G35" s="18">
        <f t="shared" si="9"/>
        <v>0</v>
      </c>
      <c r="H35" s="18">
        <f t="shared" si="9"/>
        <v>0</v>
      </c>
      <c r="I35" s="18">
        <v>0</v>
      </c>
      <c r="J35" s="18">
        <v>0</v>
      </c>
      <c r="K35" s="18">
        <v>0</v>
      </c>
      <c r="L35" s="19"/>
    </row>
    <row r="36" spans="1:13" s="16" customFormat="1">
      <c r="A36" s="11" t="s">
        <v>13</v>
      </c>
      <c r="B36" s="20" t="s">
        <v>22</v>
      </c>
      <c r="C36" s="18">
        <v>50</v>
      </c>
      <c r="D36" s="18">
        <f t="shared" si="9"/>
        <v>0</v>
      </c>
      <c r="E36" s="18">
        <f t="shared" si="9"/>
        <v>0</v>
      </c>
      <c r="F36" s="18">
        <f t="shared" si="9"/>
        <v>0</v>
      </c>
      <c r="G36" s="18">
        <f t="shared" si="9"/>
        <v>50</v>
      </c>
      <c r="H36" s="18">
        <f t="shared" si="9"/>
        <v>0</v>
      </c>
      <c r="I36" s="18">
        <v>0</v>
      </c>
      <c r="J36" s="18">
        <v>0</v>
      </c>
      <c r="K36" s="18">
        <v>0</v>
      </c>
      <c r="L36" s="19"/>
    </row>
    <row r="37" spans="1:13" s="16" customFormat="1">
      <c r="A37" s="11" t="s">
        <v>13</v>
      </c>
      <c r="B37" s="17" t="s">
        <v>23</v>
      </c>
      <c r="C37" s="18">
        <v>0</v>
      </c>
      <c r="D37" s="18">
        <f t="shared" si="9"/>
        <v>0</v>
      </c>
      <c r="E37" s="18">
        <f t="shared" si="9"/>
        <v>0</v>
      </c>
      <c r="F37" s="18">
        <f t="shared" si="9"/>
        <v>0</v>
      </c>
      <c r="G37" s="18">
        <f t="shared" si="9"/>
        <v>0</v>
      </c>
      <c r="H37" s="18">
        <f t="shared" si="9"/>
        <v>0</v>
      </c>
      <c r="I37" s="18">
        <v>0</v>
      </c>
      <c r="J37" s="18">
        <v>0</v>
      </c>
      <c r="K37" s="18">
        <v>0</v>
      </c>
      <c r="L37" s="19"/>
    </row>
    <row r="38" spans="1:13" s="16" customFormat="1">
      <c r="A38" s="24" t="s">
        <v>30</v>
      </c>
      <c r="B38" s="12" t="s">
        <v>31</v>
      </c>
      <c r="C38" s="13">
        <f>C41+C48</f>
        <v>2355.77</v>
      </c>
      <c r="D38" s="13">
        <f t="shared" ref="D38:H38" si="10">D41+D48</f>
        <v>0</v>
      </c>
      <c r="E38" s="13">
        <f t="shared" si="10"/>
        <v>55</v>
      </c>
      <c r="F38" s="13">
        <f t="shared" si="10"/>
        <v>3.2</v>
      </c>
      <c r="G38" s="13">
        <f t="shared" si="10"/>
        <v>2297.5699999999997</v>
      </c>
      <c r="H38" s="13">
        <f t="shared" si="10"/>
        <v>-58.200000000000045</v>
      </c>
      <c r="I38" s="21">
        <v>2008.2</v>
      </c>
      <c r="J38" s="21">
        <v>2008.2</v>
      </c>
      <c r="K38" s="21">
        <v>2008.2</v>
      </c>
      <c r="L38" s="19"/>
      <c r="M38" s="15"/>
    </row>
    <row r="39" spans="1:13" s="16" customFormat="1">
      <c r="A39" s="11" t="s">
        <v>13</v>
      </c>
      <c r="B39" s="17" t="s">
        <v>14</v>
      </c>
      <c r="C39" s="18"/>
      <c r="D39" s="18"/>
      <c r="E39" s="18"/>
      <c r="F39" s="18"/>
      <c r="G39" s="18">
        <f>C39+D39-E39-F39</f>
        <v>0</v>
      </c>
      <c r="H39" s="18">
        <f>G39-C39</f>
        <v>0</v>
      </c>
      <c r="I39" s="18"/>
      <c r="J39" s="18"/>
      <c r="K39" s="18"/>
      <c r="L39" s="19"/>
    </row>
    <row r="40" spans="1:13" s="16" customFormat="1">
      <c r="A40" s="11" t="s">
        <v>13</v>
      </c>
      <c r="B40" s="17" t="s">
        <v>15</v>
      </c>
      <c r="C40" s="18"/>
      <c r="D40" s="18"/>
      <c r="E40" s="18"/>
      <c r="F40" s="18"/>
      <c r="G40" s="18">
        <f>C40+D40-E40-F40</f>
        <v>0</v>
      </c>
      <c r="H40" s="18">
        <f>G40-C40</f>
        <v>0</v>
      </c>
      <c r="I40" s="18"/>
      <c r="J40" s="18"/>
      <c r="K40" s="18"/>
      <c r="L40" s="19"/>
    </row>
    <row r="41" spans="1:13" s="16" customFormat="1">
      <c r="A41" s="11" t="s">
        <v>13</v>
      </c>
      <c r="B41" s="17" t="s">
        <v>16</v>
      </c>
      <c r="C41" s="18">
        <f>SUM(C42:C47)</f>
        <v>2355.77</v>
      </c>
      <c r="D41" s="18">
        <f t="shared" ref="D41:H41" si="11">D42+D43+D44+D45+D46+D47</f>
        <v>0</v>
      </c>
      <c r="E41" s="18">
        <f t="shared" si="11"/>
        <v>55</v>
      </c>
      <c r="F41" s="18">
        <f t="shared" si="11"/>
        <v>3.2</v>
      </c>
      <c r="G41" s="18">
        <f t="shared" si="11"/>
        <v>2297.5699999999997</v>
      </c>
      <c r="H41" s="18">
        <f t="shared" si="11"/>
        <v>-58.200000000000045</v>
      </c>
      <c r="I41" s="18">
        <v>0</v>
      </c>
      <c r="J41" s="18">
        <v>0</v>
      </c>
      <c r="K41" s="18">
        <v>0</v>
      </c>
      <c r="L41" s="19"/>
    </row>
    <row r="42" spans="1:13" s="16" customFormat="1">
      <c r="A42" s="11" t="s">
        <v>13</v>
      </c>
      <c r="B42" s="20" t="s">
        <v>17</v>
      </c>
      <c r="C42" s="18"/>
      <c r="D42" s="18"/>
      <c r="E42" s="18"/>
      <c r="F42" s="18"/>
      <c r="G42" s="18">
        <f t="shared" ref="G42:G48" si="12">C42+D42-E42-F42</f>
        <v>0</v>
      </c>
      <c r="H42" s="18">
        <f t="shared" ref="H42:H48" si="13">G42-C42</f>
        <v>0</v>
      </c>
      <c r="I42" s="18"/>
      <c r="J42" s="18"/>
      <c r="K42" s="18"/>
      <c r="L42" s="19"/>
    </row>
    <row r="43" spans="1:13" s="16" customFormat="1" ht="69">
      <c r="A43" s="11" t="s">
        <v>13</v>
      </c>
      <c r="B43" s="20" t="s">
        <v>18</v>
      </c>
      <c r="C43" s="18">
        <v>1205.77</v>
      </c>
      <c r="D43" s="18"/>
      <c r="E43" s="18">
        <v>55</v>
      </c>
      <c r="F43" s="18">
        <f>3.2</f>
        <v>3.2</v>
      </c>
      <c r="G43" s="18">
        <f t="shared" si="12"/>
        <v>1147.57</v>
      </c>
      <c r="H43" s="18">
        <f t="shared" si="13"/>
        <v>-58.200000000000045</v>
      </c>
      <c r="I43" s="18"/>
      <c r="J43" s="18"/>
      <c r="K43" s="18"/>
      <c r="L43" s="22" t="s">
        <v>32</v>
      </c>
    </row>
    <row r="44" spans="1:13" s="16" customFormat="1">
      <c r="A44" s="11"/>
      <c r="B44" s="20" t="s">
        <v>19</v>
      </c>
      <c r="C44" s="18">
        <v>1100</v>
      </c>
      <c r="D44" s="18"/>
      <c r="E44" s="18"/>
      <c r="F44" s="18"/>
      <c r="G44" s="18">
        <f t="shared" si="12"/>
        <v>1100</v>
      </c>
      <c r="H44" s="18">
        <f t="shared" si="13"/>
        <v>0</v>
      </c>
      <c r="I44" s="18"/>
      <c r="J44" s="18"/>
      <c r="K44" s="18"/>
      <c r="L44" s="19"/>
    </row>
    <row r="45" spans="1:13" s="16" customFormat="1">
      <c r="A45" s="11" t="s">
        <v>13</v>
      </c>
      <c r="B45" s="20" t="s">
        <v>20</v>
      </c>
      <c r="C45" s="18"/>
      <c r="D45" s="18"/>
      <c r="E45" s="18"/>
      <c r="F45" s="18"/>
      <c r="G45" s="18">
        <f t="shared" si="12"/>
        <v>0</v>
      </c>
      <c r="H45" s="18">
        <f t="shared" si="13"/>
        <v>0</v>
      </c>
      <c r="I45" s="18"/>
      <c r="J45" s="18"/>
      <c r="K45" s="18"/>
      <c r="L45" s="19"/>
    </row>
    <row r="46" spans="1:13" s="16" customFormat="1">
      <c r="A46" s="11" t="s">
        <v>13</v>
      </c>
      <c r="B46" s="20" t="s">
        <v>21</v>
      </c>
      <c r="C46" s="18"/>
      <c r="D46" s="18"/>
      <c r="E46" s="18"/>
      <c r="F46" s="18"/>
      <c r="G46" s="18">
        <f t="shared" si="12"/>
        <v>0</v>
      </c>
      <c r="H46" s="18">
        <f t="shared" si="13"/>
        <v>0</v>
      </c>
      <c r="I46" s="18"/>
      <c r="J46" s="18"/>
      <c r="K46" s="18"/>
      <c r="L46" s="19"/>
    </row>
    <row r="47" spans="1:13" s="16" customFormat="1">
      <c r="A47" s="11" t="s">
        <v>13</v>
      </c>
      <c r="B47" s="20" t="s">
        <v>22</v>
      </c>
      <c r="C47" s="18">
        <v>50</v>
      </c>
      <c r="D47" s="18"/>
      <c r="E47" s="18"/>
      <c r="F47" s="18"/>
      <c r="G47" s="18">
        <f t="shared" si="12"/>
        <v>50</v>
      </c>
      <c r="H47" s="18">
        <f t="shared" si="13"/>
        <v>0</v>
      </c>
      <c r="I47" s="18"/>
      <c r="J47" s="18"/>
      <c r="K47" s="18"/>
      <c r="L47" s="19"/>
    </row>
    <row r="48" spans="1:13" s="16" customFormat="1">
      <c r="A48" s="11" t="s">
        <v>13</v>
      </c>
      <c r="B48" s="17" t="s">
        <v>23</v>
      </c>
      <c r="C48" s="18"/>
      <c r="D48" s="18"/>
      <c r="E48" s="18"/>
      <c r="F48" s="18"/>
      <c r="G48" s="18">
        <f t="shared" si="12"/>
        <v>0</v>
      </c>
      <c r="H48" s="18">
        <f t="shared" si="13"/>
        <v>0</v>
      </c>
      <c r="I48" s="18"/>
      <c r="J48" s="18"/>
      <c r="K48" s="18"/>
      <c r="L48" s="19"/>
    </row>
    <row r="49" spans="1:12" s="16" customFormat="1">
      <c r="A49" s="11" t="s">
        <v>33</v>
      </c>
      <c r="B49" s="12" t="s">
        <v>34</v>
      </c>
      <c r="C49" s="13">
        <v>340</v>
      </c>
      <c r="D49" s="13">
        <f t="shared" ref="D49:H49" si="14">D52+D59</f>
        <v>0</v>
      </c>
      <c r="E49" s="13">
        <f t="shared" si="14"/>
        <v>0</v>
      </c>
      <c r="F49" s="13">
        <f t="shared" si="14"/>
        <v>0</v>
      </c>
      <c r="G49" s="21">
        <f t="shared" si="14"/>
        <v>340</v>
      </c>
      <c r="H49" s="21">
        <f t="shared" si="14"/>
        <v>0</v>
      </c>
      <c r="I49" s="21">
        <v>340</v>
      </c>
      <c r="J49" s="21">
        <v>340</v>
      </c>
      <c r="K49" s="21">
        <v>340</v>
      </c>
      <c r="L49" s="19"/>
    </row>
    <row r="50" spans="1:12" s="16" customFormat="1">
      <c r="A50" s="11" t="s">
        <v>13</v>
      </c>
      <c r="B50" s="17" t="s">
        <v>14</v>
      </c>
      <c r="C50" s="18"/>
      <c r="D50" s="18"/>
      <c r="E50" s="18"/>
      <c r="F50" s="18"/>
      <c r="G50" s="18">
        <v>0</v>
      </c>
      <c r="H50" s="18">
        <v>0</v>
      </c>
      <c r="I50" s="18"/>
      <c r="J50" s="18"/>
      <c r="K50" s="18"/>
      <c r="L50" s="19"/>
    </row>
    <row r="51" spans="1:12" s="16" customFormat="1">
      <c r="A51" s="11" t="s">
        <v>13</v>
      </c>
      <c r="B51" s="17" t="s">
        <v>15</v>
      </c>
      <c r="C51" s="18"/>
      <c r="D51" s="18"/>
      <c r="E51" s="18"/>
      <c r="F51" s="18"/>
      <c r="G51" s="18">
        <v>0</v>
      </c>
      <c r="H51" s="18">
        <v>0</v>
      </c>
      <c r="I51" s="18"/>
      <c r="J51" s="18"/>
      <c r="K51" s="18"/>
      <c r="L51" s="19"/>
    </row>
    <row r="52" spans="1:12" s="16" customFormat="1">
      <c r="A52" s="11" t="s">
        <v>13</v>
      </c>
      <c r="B52" s="17" t="s">
        <v>16</v>
      </c>
      <c r="C52" s="18">
        <v>340</v>
      </c>
      <c r="D52" s="18">
        <f t="shared" ref="D52:H52" si="15">D53+D54+D55+D56+D57+D58</f>
        <v>0</v>
      </c>
      <c r="E52" s="18">
        <f t="shared" si="15"/>
        <v>0</v>
      </c>
      <c r="F52" s="18">
        <f t="shared" si="15"/>
        <v>0</v>
      </c>
      <c r="G52" s="18">
        <f t="shared" si="15"/>
        <v>340</v>
      </c>
      <c r="H52" s="18">
        <f t="shared" si="15"/>
        <v>0</v>
      </c>
      <c r="I52" s="18">
        <v>0</v>
      </c>
      <c r="J52" s="18">
        <v>0</v>
      </c>
      <c r="K52" s="18">
        <v>0</v>
      </c>
      <c r="L52" s="19"/>
    </row>
    <row r="53" spans="1:12" s="16" customFormat="1">
      <c r="A53" s="11" t="s">
        <v>13</v>
      </c>
      <c r="B53" s="20" t="s">
        <v>17</v>
      </c>
      <c r="C53" s="18"/>
      <c r="D53" s="18"/>
      <c r="E53" s="18"/>
      <c r="F53" s="18"/>
      <c r="G53" s="18">
        <v>0</v>
      </c>
      <c r="H53" s="18">
        <v>0</v>
      </c>
      <c r="I53" s="18"/>
      <c r="J53" s="18"/>
      <c r="K53" s="18"/>
      <c r="L53" s="19"/>
    </row>
    <row r="54" spans="1:12" s="16" customFormat="1">
      <c r="A54" s="11" t="s">
        <v>13</v>
      </c>
      <c r="B54" s="20" t="s">
        <v>18</v>
      </c>
      <c r="C54" s="18">
        <v>40</v>
      </c>
      <c r="D54" s="18"/>
      <c r="E54" s="18"/>
      <c r="F54" s="18"/>
      <c r="G54" s="18">
        <v>40</v>
      </c>
      <c r="H54" s="18">
        <v>0</v>
      </c>
      <c r="I54" s="18"/>
      <c r="J54" s="18"/>
      <c r="K54" s="18"/>
      <c r="L54" s="19"/>
    </row>
    <row r="55" spans="1:12" s="16" customFormat="1">
      <c r="A55" s="11"/>
      <c r="B55" s="20" t="s">
        <v>19</v>
      </c>
      <c r="C55" s="18">
        <v>300</v>
      </c>
      <c r="D55" s="18"/>
      <c r="E55" s="18"/>
      <c r="F55" s="18"/>
      <c r="G55" s="18">
        <v>300</v>
      </c>
      <c r="H55" s="18">
        <v>0</v>
      </c>
      <c r="I55" s="18"/>
      <c r="J55" s="18"/>
      <c r="K55" s="18"/>
      <c r="L55" s="19"/>
    </row>
    <row r="56" spans="1:12" s="16" customFormat="1">
      <c r="A56" s="11" t="s">
        <v>13</v>
      </c>
      <c r="B56" s="20" t="s">
        <v>20</v>
      </c>
      <c r="C56" s="18"/>
      <c r="D56" s="18"/>
      <c r="E56" s="18"/>
      <c r="F56" s="18"/>
      <c r="G56" s="18">
        <v>0</v>
      </c>
      <c r="H56" s="18">
        <v>0</v>
      </c>
      <c r="I56" s="18"/>
      <c r="J56" s="18"/>
      <c r="K56" s="18"/>
      <c r="L56" s="19"/>
    </row>
    <row r="57" spans="1:12" s="16" customFormat="1">
      <c r="A57" s="11" t="s">
        <v>13</v>
      </c>
      <c r="B57" s="20" t="s">
        <v>21</v>
      </c>
      <c r="C57" s="18"/>
      <c r="D57" s="18"/>
      <c r="E57" s="18"/>
      <c r="F57" s="18"/>
      <c r="G57" s="18">
        <v>0</v>
      </c>
      <c r="H57" s="18">
        <v>0</v>
      </c>
      <c r="I57" s="18"/>
      <c r="J57" s="18"/>
      <c r="K57" s="18"/>
      <c r="L57" s="19"/>
    </row>
    <row r="58" spans="1:12" s="16" customFormat="1">
      <c r="A58" s="11" t="s">
        <v>13</v>
      </c>
      <c r="B58" s="20" t="s">
        <v>22</v>
      </c>
      <c r="C58" s="18"/>
      <c r="D58" s="18"/>
      <c r="E58" s="18"/>
      <c r="F58" s="18"/>
      <c r="G58" s="18">
        <v>0</v>
      </c>
      <c r="H58" s="18">
        <v>0</v>
      </c>
      <c r="I58" s="18"/>
      <c r="J58" s="18"/>
      <c r="K58" s="18"/>
      <c r="L58" s="19"/>
    </row>
    <row r="59" spans="1:12" s="16" customFormat="1">
      <c r="A59" s="11" t="s">
        <v>13</v>
      </c>
      <c r="B59" s="17" t="s">
        <v>23</v>
      </c>
      <c r="C59" s="18"/>
      <c r="D59" s="18"/>
      <c r="E59" s="18"/>
      <c r="F59" s="18"/>
      <c r="G59" s="18">
        <v>0</v>
      </c>
      <c r="H59" s="18">
        <v>0</v>
      </c>
      <c r="I59" s="18"/>
      <c r="J59" s="18"/>
      <c r="K59" s="18"/>
      <c r="L59" s="19"/>
    </row>
    <row r="60" spans="1:12" s="16" customFormat="1">
      <c r="A60" s="11" t="s">
        <v>35</v>
      </c>
      <c r="B60" s="12" t="s">
        <v>36</v>
      </c>
      <c r="C60" s="13">
        <v>270</v>
      </c>
      <c r="D60" s="13">
        <f t="shared" ref="D60:H60" si="16">D63+D70</f>
        <v>0</v>
      </c>
      <c r="E60" s="13">
        <f t="shared" si="16"/>
        <v>0</v>
      </c>
      <c r="F60" s="13">
        <f t="shared" si="16"/>
        <v>2.09</v>
      </c>
      <c r="G60" s="21">
        <f t="shared" si="16"/>
        <v>267.90999999999997</v>
      </c>
      <c r="H60" s="21">
        <f t="shared" si="16"/>
        <v>-2.0900000000000034</v>
      </c>
      <c r="I60" s="21">
        <v>250</v>
      </c>
      <c r="J60" s="21">
        <v>250</v>
      </c>
      <c r="K60" s="21">
        <v>250</v>
      </c>
      <c r="L60" s="19"/>
    </row>
    <row r="61" spans="1:12" s="16" customFormat="1">
      <c r="A61" s="11" t="s">
        <v>13</v>
      </c>
      <c r="B61" s="17" t="s">
        <v>14</v>
      </c>
      <c r="C61" s="18"/>
      <c r="D61" s="18"/>
      <c r="E61" s="18"/>
      <c r="F61" s="18"/>
      <c r="G61" s="18">
        <v>0</v>
      </c>
      <c r="H61" s="18">
        <f>G61-C61</f>
        <v>0</v>
      </c>
      <c r="I61" s="18"/>
      <c r="J61" s="18"/>
      <c r="K61" s="18"/>
      <c r="L61" s="19"/>
    </row>
    <row r="62" spans="1:12" s="16" customFormat="1">
      <c r="A62" s="11" t="s">
        <v>13</v>
      </c>
      <c r="B62" s="17" t="s">
        <v>15</v>
      </c>
      <c r="C62" s="18"/>
      <c r="D62" s="18"/>
      <c r="E62" s="18"/>
      <c r="F62" s="18"/>
      <c r="G62" s="18">
        <v>0</v>
      </c>
      <c r="H62" s="18">
        <f>G62-C62</f>
        <v>0</v>
      </c>
      <c r="I62" s="18"/>
      <c r="J62" s="18"/>
      <c r="K62" s="18"/>
      <c r="L62" s="19"/>
    </row>
    <row r="63" spans="1:12" s="16" customFormat="1">
      <c r="A63" s="11" t="s">
        <v>13</v>
      </c>
      <c r="B63" s="17" t="s">
        <v>16</v>
      </c>
      <c r="C63" s="18">
        <v>270</v>
      </c>
      <c r="D63" s="18">
        <f t="shared" ref="D63:H63" si="17">D64+D65+D66+D67+D68+D69</f>
        <v>0</v>
      </c>
      <c r="E63" s="18">
        <f t="shared" si="17"/>
        <v>0</v>
      </c>
      <c r="F63" s="18">
        <f t="shared" si="17"/>
        <v>2.09</v>
      </c>
      <c r="G63" s="18">
        <f t="shared" si="17"/>
        <v>267.90999999999997</v>
      </c>
      <c r="H63" s="18">
        <f t="shared" si="17"/>
        <v>-2.0900000000000034</v>
      </c>
      <c r="I63" s="18">
        <v>0</v>
      </c>
      <c r="J63" s="18">
        <v>0</v>
      </c>
      <c r="K63" s="18">
        <v>0</v>
      </c>
      <c r="L63" s="19"/>
    </row>
    <row r="64" spans="1:12" s="16" customFormat="1">
      <c r="A64" s="11" t="s">
        <v>13</v>
      </c>
      <c r="B64" s="20" t="s">
        <v>17</v>
      </c>
      <c r="C64" s="18"/>
      <c r="D64" s="18"/>
      <c r="E64" s="18"/>
      <c r="F64" s="18"/>
      <c r="G64" s="18">
        <f t="shared" ref="G64:G70" si="18">C64+D64+-E64-F64</f>
        <v>0</v>
      </c>
      <c r="H64" s="18">
        <f t="shared" ref="H64:H70" si="19">G64-C64</f>
        <v>0</v>
      </c>
      <c r="I64" s="18"/>
      <c r="J64" s="18"/>
      <c r="K64" s="18"/>
      <c r="L64" s="19"/>
    </row>
    <row r="65" spans="1:13" s="16" customFormat="1">
      <c r="A65" s="11" t="s">
        <v>13</v>
      </c>
      <c r="B65" s="20" t="s">
        <v>18</v>
      </c>
      <c r="C65" s="18">
        <v>30</v>
      </c>
      <c r="D65" s="18"/>
      <c r="E65" s="18"/>
      <c r="F65" s="18"/>
      <c r="G65" s="18">
        <f t="shared" si="18"/>
        <v>30</v>
      </c>
      <c r="H65" s="18">
        <f t="shared" si="19"/>
        <v>0</v>
      </c>
      <c r="I65" s="18"/>
      <c r="J65" s="18"/>
      <c r="K65" s="18"/>
      <c r="L65" s="19"/>
    </row>
    <row r="66" spans="1:13" s="16" customFormat="1">
      <c r="A66" s="11"/>
      <c r="B66" s="20" t="s">
        <v>19</v>
      </c>
      <c r="C66" s="18"/>
      <c r="D66" s="18"/>
      <c r="E66" s="18"/>
      <c r="F66" s="18"/>
      <c r="G66" s="18">
        <f t="shared" si="18"/>
        <v>0</v>
      </c>
      <c r="H66" s="18">
        <f t="shared" si="19"/>
        <v>0</v>
      </c>
      <c r="I66" s="18"/>
      <c r="J66" s="18"/>
      <c r="K66" s="18"/>
      <c r="L66" s="19"/>
    </row>
    <row r="67" spans="1:13" s="16" customFormat="1">
      <c r="A67" s="11" t="s">
        <v>13</v>
      </c>
      <c r="B67" s="20" t="s">
        <v>20</v>
      </c>
      <c r="C67" s="18">
        <v>240</v>
      </c>
      <c r="D67" s="18"/>
      <c r="E67" s="18"/>
      <c r="F67" s="18">
        <v>2.09</v>
      </c>
      <c r="G67" s="18">
        <f t="shared" si="18"/>
        <v>237.91</v>
      </c>
      <c r="H67" s="18">
        <f t="shared" si="19"/>
        <v>-2.0900000000000034</v>
      </c>
      <c r="I67" s="18"/>
      <c r="J67" s="18"/>
      <c r="K67" s="18"/>
      <c r="L67" s="19"/>
      <c r="M67" s="15"/>
    </row>
    <row r="68" spans="1:13" s="16" customFormat="1">
      <c r="A68" s="11" t="s">
        <v>13</v>
      </c>
      <c r="B68" s="20" t="s">
        <v>21</v>
      </c>
      <c r="C68" s="18"/>
      <c r="D68" s="18"/>
      <c r="E68" s="18"/>
      <c r="F68" s="18"/>
      <c r="G68" s="18">
        <f t="shared" si="18"/>
        <v>0</v>
      </c>
      <c r="H68" s="18">
        <f t="shared" si="19"/>
        <v>0</v>
      </c>
      <c r="I68" s="18"/>
      <c r="J68" s="18"/>
      <c r="K68" s="18"/>
      <c r="L68" s="19"/>
    </row>
    <row r="69" spans="1:13" s="16" customFormat="1">
      <c r="A69" s="11" t="s">
        <v>13</v>
      </c>
      <c r="B69" s="20" t="s">
        <v>22</v>
      </c>
      <c r="C69" s="18"/>
      <c r="D69" s="18"/>
      <c r="E69" s="18"/>
      <c r="F69" s="18"/>
      <c r="G69" s="18">
        <f t="shared" si="18"/>
        <v>0</v>
      </c>
      <c r="H69" s="18">
        <f t="shared" si="19"/>
        <v>0</v>
      </c>
      <c r="I69" s="18"/>
      <c r="J69" s="18"/>
      <c r="K69" s="18"/>
      <c r="L69" s="19"/>
    </row>
    <row r="70" spans="1:13" s="16" customFormat="1">
      <c r="A70" s="11" t="s">
        <v>13</v>
      </c>
      <c r="B70" s="17" t="s">
        <v>23</v>
      </c>
      <c r="C70" s="18"/>
      <c r="D70" s="18"/>
      <c r="E70" s="18"/>
      <c r="F70" s="18"/>
      <c r="G70" s="18">
        <f t="shared" si="18"/>
        <v>0</v>
      </c>
      <c r="H70" s="18">
        <f t="shared" si="19"/>
        <v>0</v>
      </c>
      <c r="I70" s="18"/>
      <c r="J70" s="18"/>
      <c r="K70" s="18"/>
      <c r="L70" s="19"/>
    </row>
    <row r="71" spans="1:13" s="16" customFormat="1">
      <c r="A71" s="11" t="s">
        <v>37</v>
      </c>
      <c r="B71" s="12" t="s">
        <v>38</v>
      </c>
      <c r="C71" s="13">
        <v>633.22</v>
      </c>
      <c r="D71" s="13">
        <f t="shared" ref="D71:H71" si="20">D74+D81</f>
        <v>0</v>
      </c>
      <c r="E71" s="13">
        <f t="shared" si="20"/>
        <v>0</v>
      </c>
      <c r="F71" s="13">
        <f t="shared" si="20"/>
        <v>24.78</v>
      </c>
      <c r="G71" s="21">
        <f t="shared" si="20"/>
        <v>608.43999999999994</v>
      </c>
      <c r="H71" s="21">
        <f t="shared" si="20"/>
        <v>-24.78000000000003</v>
      </c>
      <c r="I71" s="21">
        <v>610</v>
      </c>
      <c r="J71" s="21">
        <v>610</v>
      </c>
      <c r="K71" s="21">
        <v>610</v>
      </c>
      <c r="L71" s="19"/>
    </row>
    <row r="72" spans="1:13" s="16" customFormat="1">
      <c r="A72" s="11" t="s">
        <v>13</v>
      </c>
      <c r="B72" s="17" t="s">
        <v>14</v>
      </c>
      <c r="C72" s="18"/>
      <c r="D72" s="18"/>
      <c r="E72" s="18"/>
      <c r="F72" s="18"/>
      <c r="G72" s="18">
        <v>0</v>
      </c>
      <c r="H72" s="18">
        <v>0</v>
      </c>
      <c r="I72" s="18"/>
      <c r="J72" s="18"/>
      <c r="K72" s="18"/>
      <c r="L72" s="19"/>
    </row>
    <row r="73" spans="1:13" s="16" customFormat="1">
      <c r="A73" s="11" t="s">
        <v>13</v>
      </c>
      <c r="B73" s="17" t="s">
        <v>15</v>
      </c>
      <c r="C73" s="18"/>
      <c r="D73" s="18"/>
      <c r="E73" s="18"/>
      <c r="F73" s="18"/>
      <c r="G73" s="18">
        <v>0</v>
      </c>
      <c r="H73" s="18">
        <v>0</v>
      </c>
      <c r="I73" s="18"/>
      <c r="J73" s="18"/>
      <c r="K73" s="18"/>
      <c r="L73" s="19"/>
    </row>
    <row r="74" spans="1:13" s="16" customFormat="1">
      <c r="A74" s="11" t="s">
        <v>13</v>
      </c>
      <c r="B74" s="17" t="s">
        <v>16</v>
      </c>
      <c r="C74" s="18">
        <v>615.22</v>
      </c>
      <c r="D74" s="18">
        <f t="shared" ref="D74:H74" si="21">D75+D76+D77+D78+D79+D80</f>
        <v>0</v>
      </c>
      <c r="E74" s="18">
        <f t="shared" si="21"/>
        <v>0</v>
      </c>
      <c r="F74" s="18">
        <f t="shared" si="21"/>
        <v>24.78</v>
      </c>
      <c r="G74" s="18">
        <f t="shared" si="21"/>
        <v>590.43999999999994</v>
      </c>
      <c r="H74" s="18">
        <f t="shared" si="21"/>
        <v>-24.78000000000003</v>
      </c>
      <c r="I74" s="18">
        <v>0</v>
      </c>
      <c r="J74" s="18">
        <v>0</v>
      </c>
      <c r="K74" s="18">
        <v>0</v>
      </c>
      <c r="L74" s="19"/>
    </row>
    <row r="75" spans="1:13" s="16" customFormat="1">
      <c r="A75" s="11" t="s">
        <v>13</v>
      </c>
      <c r="B75" s="20" t="s">
        <v>17</v>
      </c>
      <c r="C75" s="18"/>
      <c r="D75" s="18"/>
      <c r="E75" s="18"/>
      <c r="F75" s="18"/>
      <c r="G75" s="18">
        <v>0</v>
      </c>
      <c r="H75" s="18">
        <v>0</v>
      </c>
      <c r="I75" s="18"/>
      <c r="J75" s="18"/>
      <c r="K75" s="18"/>
      <c r="L75" s="19"/>
    </row>
    <row r="76" spans="1:13" s="16" customFormat="1">
      <c r="A76" s="11" t="s">
        <v>13</v>
      </c>
      <c r="B76" s="20" t="s">
        <v>18</v>
      </c>
      <c r="C76" s="18">
        <v>433.3</v>
      </c>
      <c r="D76" s="18"/>
      <c r="E76" s="18"/>
      <c r="F76" s="18">
        <v>24.78</v>
      </c>
      <c r="G76" s="18">
        <v>408.52</v>
      </c>
      <c r="H76" s="18">
        <v>-24.78000000000003</v>
      </c>
      <c r="I76" s="18"/>
      <c r="J76" s="18"/>
      <c r="K76" s="18"/>
      <c r="L76" s="19"/>
    </row>
    <row r="77" spans="1:13" s="16" customFormat="1">
      <c r="A77" s="11"/>
      <c r="B77" s="20" t="s">
        <v>19</v>
      </c>
      <c r="C77" s="18"/>
      <c r="D77" s="18"/>
      <c r="E77" s="18"/>
      <c r="F77" s="18"/>
      <c r="G77" s="18">
        <v>0</v>
      </c>
      <c r="H77" s="18">
        <v>0</v>
      </c>
      <c r="I77" s="18"/>
      <c r="J77" s="18"/>
      <c r="K77" s="18"/>
      <c r="L77" s="19"/>
    </row>
    <row r="78" spans="1:13" s="16" customFormat="1">
      <c r="A78" s="11" t="s">
        <v>13</v>
      </c>
      <c r="B78" s="20" t="s">
        <v>20</v>
      </c>
      <c r="C78" s="18"/>
      <c r="D78" s="18"/>
      <c r="E78" s="18"/>
      <c r="F78" s="18"/>
      <c r="G78" s="18">
        <v>0</v>
      </c>
      <c r="H78" s="18">
        <v>0</v>
      </c>
      <c r="I78" s="18"/>
      <c r="J78" s="18"/>
      <c r="K78" s="18"/>
      <c r="L78" s="19"/>
    </row>
    <row r="79" spans="1:13" s="16" customFormat="1">
      <c r="A79" s="11" t="s">
        <v>13</v>
      </c>
      <c r="B79" s="20" t="s">
        <v>21</v>
      </c>
      <c r="C79" s="18"/>
      <c r="D79" s="18"/>
      <c r="E79" s="18"/>
      <c r="F79" s="18"/>
      <c r="G79" s="18">
        <v>0</v>
      </c>
      <c r="H79" s="18">
        <v>0</v>
      </c>
      <c r="I79" s="18"/>
      <c r="J79" s="18"/>
      <c r="K79" s="18"/>
      <c r="L79" s="19"/>
    </row>
    <row r="80" spans="1:13" s="16" customFormat="1">
      <c r="A80" s="11" t="s">
        <v>13</v>
      </c>
      <c r="B80" s="20" t="s">
        <v>22</v>
      </c>
      <c r="C80" s="18">
        <v>181.92</v>
      </c>
      <c r="D80" s="18"/>
      <c r="E80" s="18"/>
      <c r="F80" s="18"/>
      <c r="G80" s="18">
        <v>181.92</v>
      </c>
      <c r="H80" s="18">
        <v>0</v>
      </c>
      <c r="I80" s="18"/>
      <c r="J80" s="18"/>
      <c r="K80" s="18"/>
      <c r="L80" s="19"/>
    </row>
    <row r="81" spans="1:12" s="16" customFormat="1">
      <c r="A81" s="11" t="s">
        <v>13</v>
      </c>
      <c r="B81" s="17" t="s">
        <v>23</v>
      </c>
      <c r="C81" s="18">
        <v>18</v>
      </c>
      <c r="D81" s="18"/>
      <c r="E81" s="18"/>
      <c r="F81" s="18"/>
      <c r="G81" s="18">
        <v>18</v>
      </c>
      <c r="H81" s="18">
        <v>0</v>
      </c>
      <c r="I81" s="18"/>
      <c r="J81" s="18"/>
      <c r="K81" s="18"/>
      <c r="L81" s="19"/>
    </row>
    <row r="82" spans="1:12" s="16" customFormat="1">
      <c r="A82" s="11" t="s">
        <v>39</v>
      </c>
      <c r="B82" s="12" t="s">
        <v>40</v>
      </c>
      <c r="C82" s="13">
        <v>448</v>
      </c>
      <c r="D82" s="13">
        <f t="shared" ref="D82:H82" si="22">D85+D92</f>
        <v>0</v>
      </c>
      <c r="E82" s="13">
        <f t="shared" si="22"/>
        <v>0</v>
      </c>
      <c r="F82" s="13">
        <f t="shared" si="22"/>
        <v>0</v>
      </c>
      <c r="G82" s="21">
        <f t="shared" si="22"/>
        <v>448</v>
      </c>
      <c r="H82" s="21">
        <f t="shared" si="22"/>
        <v>0</v>
      </c>
      <c r="I82" s="21">
        <v>550</v>
      </c>
      <c r="J82" s="21">
        <v>550</v>
      </c>
      <c r="K82" s="21">
        <v>550</v>
      </c>
      <c r="L82" s="19"/>
    </row>
    <row r="83" spans="1:12" s="16" customFormat="1">
      <c r="A83" s="11" t="s">
        <v>13</v>
      </c>
      <c r="B83" s="17" t="s">
        <v>14</v>
      </c>
      <c r="C83" s="18"/>
      <c r="D83" s="18"/>
      <c r="E83" s="18"/>
      <c r="F83" s="18"/>
      <c r="G83" s="18">
        <v>0</v>
      </c>
      <c r="H83" s="18">
        <v>0</v>
      </c>
      <c r="I83" s="18"/>
      <c r="J83" s="18"/>
      <c r="K83" s="18"/>
      <c r="L83" s="19"/>
    </row>
    <row r="84" spans="1:12" s="16" customFormat="1">
      <c r="A84" s="11" t="s">
        <v>13</v>
      </c>
      <c r="B84" s="17" t="s">
        <v>15</v>
      </c>
      <c r="C84" s="18"/>
      <c r="D84" s="18"/>
      <c r="E84" s="18"/>
      <c r="F84" s="18"/>
      <c r="G84" s="18">
        <v>0</v>
      </c>
      <c r="H84" s="18">
        <v>0</v>
      </c>
      <c r="I84" s="18"/>
      <c r="J84" s="18"/>
      <c r="K84" s="18"/>
      <c r="L84" s="19"/>
    </row>
    <row r="85" spans="1:12" s="16" customFormat="1">
      <c r="A85" s="11" t="s">
        <v>13</v>
      </c>
      <c r="B85" s="17" t="s">
        <v>16</v>
      </c>
      <c r="C85" s="18">
        <v>448</v>
      </c>
      <c r="D85" s="18">
        <f t="shared" ref="D85:H85" si="23">D86+D87+D88+D89+D90+D91</f>
        <v>0</v>
      </c>
      <c r="E85" s="18">
        <f t="shared" si="23"/>
        <v>0</v>
      </c>
      <c r="F85" s="18">
        <f t="shared" si="23"/>
        <v>0</v>
      </c>
      <c r="G85" s="18">
        <f t="shared" si="23"/>
        <v>448</v>
      </c>
      <c r="H85" s="18">
        <f t="shared" si="23"/>
        <v>0</v>
      </c>
      <c r="I85" s="18">
        <v>0</v>
      </c>
      <c r="J85" s="18">
        <v>0</v>
      </c>
      <c r="K85" s="18">
        <v>0</v>
      </c>
      <c r="L85" s="19"/>
    </row>
    <row r="86" spans="1:12" s="16" customFormat="1">
      <c r="A86" s="11" t="s">
        <v>13</v>
      </c>
      <c r="B86" s="20" t="s">
        <v>17</v>
      </c>
      <c r="C86" s="18"/>
      <c r="D86" s="18"/>
      <c r="E86" s="18"/>
      <c r="F86" s="18"/>
      <c r="G86" s="18">
        <v>0</v>
      </c>
      <c r="H86" s="18">
        <v>0</v>
      </c>
      <c r="I86" s="18"/>
      <c r="J86" s="18"/>
      <c r="K86" s="18"/>
      <c r="L86" s="19"/>
    </row>
    <row r="87" spans="1:12" s="16" customFormat="1">
      <c r="A87" s="11" t="s">
        <v>13</v>
      </c>
      <c r="B87" s="20" t="s">
        <v>18</v>
      </c>
      <c r="C87" s="18">
        <v>180</v>
      </c>
      <c r="D87" s="18"/>
      <c r="E87" s="18"/>
      <c r="F87" s="18"/>
      <c r="G87" s="18">
        <v>180</v>
      </c>
      <c r="H87" s="18">
        <v>0</v>
      </c>
      <c r="I87" s="18"/>
      <c r="J87" s="18"/>
      <c r="K87" s="18"/>
      <c r="L87" s="19"/>
    </row>
    <row r="88" spans="1:12" s="16" customFormat="1">
      <c r="A88" s="11"/>
      <c r="B88" s="20" t="s">
        <v>19</v>
      </c>
      <c r="C88" s="18"/>
      <c r="D88" s="18"/>
      <c r="E88" s="18"/>
      <c r="F88" s="18"/>
      <c r="G88" s="18">
        <v>0</v>
      </c>
      <c r="H88" s="18">
        <v>0</v>
      </c>
      <c r="I88" s="18"/>
      <c r="J88" s="18"/>
      <c r="K88" s="18"/>
      <c r="L88" s="19"/>
    </row>
    <row r="89" spans="1:12" s="16" customFormat="1">
      <c r="A89" s="11" t="s">
        <v>13</v>
      </c>
      <c r="B89" s="20" t="s">
        <v>20</v>
      </c>
      <c r="C89" s="18"/>
      <c r="D89" s="18"/>
      <c r="E89" s="18"/>
      <c r="F89" s="18"/>
      <c r="G89" s="18">
        <v>0</v>
      </c>
      <c r="H89" s="18">
        <v>0</v>
      </c>
      <c r="I89" s="18"/>
      <c r="J89" s="18"/>
      <c r="K89" s="18"/>
      <c r="L89" s="19"/>
    </row>
    <row r="90" spans="1:12" s="16" customFormat="1">
      <c r="A90" s="11" t="s">
        <v>13</v>
      </c>
      <c r="B90" s="20" t="s">
        <v>21</v>
      </c>
      <c r="C90" s="18"/>
      <c r="D90" s="18"/>
      <c r="E90" s="18"/>
      <c r="F90" s="18"/>
      <c r="G90" s="18">
        <v>0</v>
      </c>
      <c r="H90" s="18">
        <v>0</v>
      </c>
      <c r="I90" s="18"/>
      <c r="J90" s="18"/>
      <c r="K90" s="18"/>
      <c r="L90" s="19"/>
    </row>
    <row r="91" spans="1:12" s="16" customFormat="1">
      <c r="A91" s="11" t="s">
        <v>13</v>
      </c>
      <c r="B91" s="20" t="s">
        <v>22</v>
      </c>
      <c r="C91" s="18">
        <v>268</v>
      </c>
      <c r="D91" s="18"/>
      <c r="E91" s="18"/>
      <c r="F91" s="18"/>
      <c r="G91" s="18">
        <v>268</v>
      </c>
      <c r="H91" s="18">
        <v>0</v>
      </c>
      <c r="I91" s="18"/>
      <c r="J91" s="18"/>
      <c r="K91" s="18"/>
      <c r="L91" s="19"/>
    </row>
    <row r="92" spans="1:12" s="16" customFormat="1">
      <c r="A92" s="11" t="s">
        <v>13</v>
      </c>
      <c r="B92" s="17" t="s">
        <v>23</v>
      </c>
      <c r="C92" s="18"/>
      <c r="D92" s="18"/>
      <c r="E92" s="18"/>
      <c r="F92" s="18"/>
      <c r="G92" s="18">
        <v>0</v>
      </c>
      <c r="H92" s="18">
        <v>0</v>
      </c>
      <c r="I92" s="18"/>
      <c r="J92" s="18"/>
      <c r="K92" s="18"/>
      <c r="L92" s="19"/>
    </row>
    <row r="93" spans="1:12" s="16" customFormat="1">
      <c r="A93" s="11" t="s">
        <v>41</v>
      </c>
      <c r="B93" s="12" t="s">
        <v>42</v>
      </c>
      <c r="C93" s="13">
        <f>C104+C115</f>
        <v>7820.76</v>
      </c>
      <c r="D93" s="13">
        <f>SUM(D104,D115)</f>
        <v>960</v>
      </c>
      <c r="E93" s="13">
        <f t="shared" ref="E93:H93" si="24">SUM(E104,E115)</f>
        <v>0</v>
      </c>
      <c r="F93" s="13">
        <f t="shared" si="24"/>
        <v>241.22200000000001</v>
      </c>
      <c r="G93" s="21">
        <f t="shared" si="24"/>
        <v>8539.44</v>
      </c>
      <c r="H93" s="21">
        <f t="shared" si="24"/>
        <v>718.68000000000006</v>
      </c>
      <c r="I93" s="21">
        <f t="shared" ref="I93:K103" si="25">I104+I115</f>
        <v>9070</v>
      </c>
      <c r="J93" s="21">
        <f t="shared" si="25"/>
        <v>9070</v>
      </c>
      <c r="K93" s="21">
        <f t="shared" si="25"/>
        <v>9070</v>
      </c>
      <c r="L93" s="19"/>
    </row>
    <row r="94" spans="1:12" s="16" customFormat="1">
      <c r="A94" s="11" t="s">
        <v>13</v>
      </c>
      <c r="B94" s="17" t="s">
        <v>14</v>
      </c>
      <c r="C94" s="18">
        <f t="shared" ref="C94:C103" si="26">C105+C116</f>
        <v>57</v>
      </c>
      <c r="D94" s="18">
        <f t="shared" ref="D94:H103" si="27">SUM(D105,D116)</f>
        <v>0</v>
      </c>
      <c r="E94" s="18">
        <f t="shared" si="27"/>
        <v>0</v>
      </c>
      <c r="F94" s="18">
        <f t="shared" si="27"/>
        <v>0</v>
      </c>
      <c r="G94" s="18">
        <f t="shared" si="27"/>
        <v>57</v>
      </c>
      <c r="H94" s="18">
        <f t="shared" si="27"/>
        <v>0</v>
      </c>
      <c r="I94" s="18">
        <f t="shared" si="25"/>
        <v>57</v>
      </c>
      <c r="J94" s="18">
        <f t="shared" si="25"/>
        <v>57</v>
      </c>
      <c r="K94" s="18">
        <f t="shared" si="25"/>
        <v>57</v>
      </c>
      <c r="L94" s="19"/>
    </row>
    <row r="95" spans="1:12" s="16" customFormat="1">
      <c r="A95" s="11" t="s">
        <v>13</v>
      </c>
      <c r="B95" s="17" t="s">
        <v>15</v>
      </c>
      <c r="C95" s="18">
        <f t="shared" si="26"/>
        <v>7</v>
      </c>
      <c r="D95" s="18">
        <f t="shared" si="27"/>
        <v>0</v>
      </c>
      <c r="E95" s="18">
        <f t="shared" si="27"/>
        <v>0</v>
      </c>
      <c r="F95" s="18">
        <f t="shared" si="27"/>
        <v>0</v>
      </c>
      <c r="G95" s="18">
        <f t="shared" si="27"/>
        <v>7</v>
      </c>
      <c r="H95" s="18">
        <f t="shared" si="27"/>
        <v>0</v>
      </c>
      <c r="I95" s="18">
        <f t="shared" si="25"/>
        <v>0</v>
      </c>
      <c r="J95" s="18">
        <f t="shared" si="25"/>
        <v>0</v>
      </c>
      <c r="K95" s="18">
        <f t="shared" si="25"/>
        <v>0</v>
      </c>
      <c r="L95" s="19"/>
    </row>
    <row r="96" spans="1:12" s="16" customFormat="1">
      <c r="A96" s="11" t="s">
        <v>13</v>
      </c>
      <c r="B96" s="17" t="s">
        <v>16</v>
      </c>
      <c r="C96" s="18">
        <f t="shared" si="26"/>
        <v>2159.16</v>
      </c>
      <c r="D96" s="18">
        <f t="shared" si="27"/>
        <v>0</v>
      </c>
      <c r="E96" s="18">
        <f t="shared" si="27"/>
        <v>0</v>
      </c>
      <c r="F96" s="18">
        <f t="shared" si="27"/>
        <v>241.22200000000001</v>
      </c>
      <c r="G96" s="18">
        <f t="shared" si="27"/>
        <v>1917.84</v>
      </c>
      <c r="H96" s="18">
        <f t="shared" si="27"/>
        <v>-241.32</v>
      </c>
      <c r="I96" s="18">
        <f t="shared" si="25"/>
        <v>0</v>
      </c>
      <c r="J96" s="18">
        <f t="shared" si="25"/>
        <v>0</v>
      </c>
      <c r="K96" s="18">
        <f t="shared" si="25"/>
        <v>0</v>
      </c>
      <c r="L96" s="19"/>
    </row>
    <row r="97" spans="1:12" s="16" customFormat="1">
      <c r="A97" s="11" t="s">
        <v>13</v>
      </c>
      <c r="B97" s="20" t="s">
        <v>17</v>
      </c>
      <c r="C97" s="18">
        <f t="shared" si="26"/>
        <v>1345.56</v>
      </c>
      <c r="D97" s="18">
        <f t="shared" si="27"/>
        <v>0</v>
      </c>
      <c r="E97" s="18">
        <f t="shared" si="27"/>
        <v>0</v>
      </c>
      <c r="F97" s="18">
        <f t="shared" si="27"/>
        <v>205.44200000000001</v>
      </c>
      <c r="G97" s="18">
        <f t="shared" si="27"/>
        <v>1140.1179999999999</v>
      </c>
      <c r="H97" s="18">
        <f t="shared" si="27"/>
        <v>-205.44200000000001</v>
      </c>
      <c r="I97" s="18">
        <f t="shared" si="25"/>
        <v>0</v>
      </c>
      <c r="J97" s="18">
        <f t="shared" si="25"/>
        <v>0</v>
      </c>
      <c r="K97" s="18">
        <f t="shared" si="25"/>
        <v>0</v>
      </c>
      <c r="L97" s="19"/>
    </row>
    <row r="98" spans="1:12" s="16" customFormat="1">
      <c r="A98" s="11" t="s">
        <v>13</v>
      </c>
      <c r="B98" s="20" t="s">
        <v>18</v>
      </c>
      <c r="C98" s="18">
        <f t="shared" si="26"/>
        <v>809.9</v>
      </c>
      <c r="D98" s="18">
        <f t="shared" si="27"/>
        <v>0</v>
      </c>
      <c r="E98" s="18">
        <f t="shared" si="27"/>
        <v>0</v>
      </c>
      <c r="F98" s="18">
        <f t="shared" si="27"/>
        <v>35.78</v>
      </c>
      <c r="G98" s="18">
        <f t="shared" si="27"/>
        <v>774.02199999999993</v>
      </c>
      <c r="H98" s="18">
        <f t="shared" si="27"/>
        <v>-35.877999999999986</v>
      </c>
      <c r="I98" s="18">
        <f t="shared" si="25"/>
        <v>0</v>
      </c>
      <c r="J98" s="18">
        <f t="shared" si="25"/>
        <v>0</v>
      </c>
      <c r="K98" s="18">
        <f t="shared" si="25"/>
        <v>0</v>
      </c>
      <c r="L98" s="19"/>
    </row>
    <row r="99" spans="1:12" s="16" customFormat="1">
      <c r="A99" s="11"/>
      <c r="B99" s="20" t="s">
        <v>19</v>
      </c>
      <c r="C99" s="18">
        <f t="shared" si="26"/>
        <v>0</v>
      </c>
      <c r="D99" s="18">
        <f t="shared" si="27"/>
        <v>0</v>
      </c>
      <c r="E99" s="18">
        <f t="shared" si="27"/>
        <v>0</v>
      </c>
      <c r="F99" s="18">
        <f t="shared" si="27"/>
        <v>0</v>
      </c>
      <c r="G99" s="18">
        <f t="shared" si="27"/>
        <v>0</v>
      </c>
      <c r="H99" s="18">
        <f t="shared" si="27"/>
        <v>0</v>
      </c>
      <c r="I99" s="18">
        <f t="shared" si="25"/>
        <v>0</v>
      </c>
      <c r="J99" s="18">
        <f t="shared" si="25"/>
        <v>0</v>
      </c>
      <c r="K99" s="18">
        <f t="shared" si="25"/>
        <v>0</v>
      </c>
      <c r="L99" s="19"/>
    </row>
    <row r="100" spans="1:12" s="16" customFormat="1">
      <c r="A100" s="11" t="s">
        <v>13</v>
      </c>
      <c r="B100" s="20" t="s">
        <v>20</v>
      </c>
      <c r="C100" s="18">
        <f t="shared" si="26"/>
        <v>0</v>
      </c>
      <c r="D100" s="18">
        <f t="shared" si="27"/>
        <v>0</v>
      </c>
      <c r="E100" s="18">
        <f t="shared" si="27"/>
        <v>0</v>
      </c>
      <c r="F100" s="18">
        <f t="shared" si="27"/>
        <v>0</v>
      </c>
      <c r="G100" s="18">
        <f t="shared" si="27"/>
        <v>0</v>
      </c>
      <c r="H100" s="18">
        <f t="shared" si="27"/>
        <v>0</v>
      </c>
      <c r="I100" s="18">
        <f t="shared" si="25"/>
        <v>0</v>
      </c>
      <c r="J100" s="18">
        <f t="shared" si="25"/>
        <v>0</v>
      </c>
      <c r="K100" s="18">
        <f t="shared" si="25"/>
        <v>0</v>
      </c>
      <c r="L100" s="19"/>
    </row>
    <row r="101" spans="1:12" s="16" customFormat="1">
      <c r="A101" s="11" t="s">
        <v>13</v>
      </c>
      <c r="B101" s="20" t="s">
        <v>21</v>
      </c>
      <c r="C101" s="18">
        <f t="shared" si="26"/>
        <v>0</v>
      </c>
      <c r="D101" s="18">
        <f t="shared" si="27"/>
        <v>0</v>
      </c>
      <c r="E101" s="18">
        <f t="shared" si="27"/>
        <v>0</v>
      </c>
      <c r="F101" s="18">
        <f t="shared" si="27"/>
        <v>0</v>
      </c>
      <c r="G101" s="18">
        <f t="shared" si="27"/>
        <v>0</v>
      </c>
      <c r="H101" s="18">
        <f t="shared" si="27"/>
        <v>0</v>
      </c>
      <c r="I101" s="18">
        <f t="shared" si="25"/>
        <v>0</v>
      </c>
      <c r="J101" s="18">
        <f t="shared" si="25"/>
        <v>0</v>
      </c>
      <c r="K101" s="18">
        <f t="shared" si="25"/>
        <v>0</v>
      </c>
      <c r="L101" s="19"/>
    </row>
    <row r="102" spans="1:12" s="16" customFormat="1">
      <c r="A102" s="11" t="s">
        <v>13</v>
      </c>
      <c r="B102" s="20" t="s">
        <v>22</v>
      </c>
      <c r="C102" s="18">
        <f t="shared" si="26"/>
        <v>3.7</v>
      </c>
      <c r="D102" s="18">
        <f t="shared" si="27"/>
        <v>0</v>
      </c>
      <c r="E102" s="18">
        <f t="shared" si="27"/>
        <v>0</v>
      </c>
      <c r="F102" s="18">
        <f t="shared" si="27"/>
        <v>0</v>
      </c>
      <c r="G102" s="18">
        <f t="shared" si="27"/>
        <v>3.7</v>
      </c>
      <c r="H102" s="18">
        <f t="shared" si="27"/>
        <v>0</v>
      </c>
      <c r="I102" s="18">
        <f t="shared" si="25"/>
        <v>0</v>
      </c>
      <c r="J102" s="18">
        <f t="shared" si="25"/>
        <v>0</v>
      </c>
      <c r="K102" s="18">
        <f t="shared" si="25"/>
        <v>0</v>
      </c>
      <c r="L102" s="19"/>
    </row>
    <row r="103" spans="1:12" s="16" customFormat="1">
      <c r="A103" s="11" t="s">
        <v>13</v>
      </c>
      <c r="B103" s="17" t="s">
        <v>23</v>
      </c>
      <c r="C103" s="18">
        <f t="shared" si="26"/>
        <v>5661.6</v>
      </c>
      <c r="D103" s="18">
        <f t="shared" si="27"/>
        <v>960</v>
      </c>
      <c r="E103" s="18">
        <f t="shared" si="27"/>
        <v>0</v>
      </c>
      <c r="F103" s="18">
        <f t="shared" si="27"/>
        <v>0</v>
      </c>
      <c r="G103" s="18">
        <f t="shared" si="27"/>
        <v>6621.6</v>
      </c>
      <c r="H103" s="18">
        <f t="shared" si="27"/>
        <v>960</v>
      </c>
      <c r="I103" s="18">
        <f t="shared" si="25"/>
        <v>0</v>
      </c>
      <c r="J103" s="18">
        <f t="shared" si="25"/>
        <v>0</v>
      </c>
      <c r="K103" s="18">
        <f t="shared" si="25"/>
        <v>0</v>
      </c>
      <c r="L103" s="19"/>
    </row>
    <row r="104" spans="1:12" s="16" customFormat="1">
      <c r="A104" s="11" t="s">
        <v>43</v>
      </c>
      <c r="B104" s="12" t="s">
        <v>44</v>
      </c>
      <c r="C104" s="13">
        <f>C107+C114</f>
        <v>1729.16</v>
      </c>
      <c r="D104" s="13">
        <f t="shared" ref="D104:H104" si="28">D107+D114</f>
        <v>960</v>
      </c>
      <c r="E104" s="13">
        <f t="shared" si="28"/>
        <v>0</v>
      </c>
      <c r="F104" s="13">
        <f t="shared" si="28"/>
        <v>241.22200000000001</v>
      </c>
      <c r="G104" s="21">
        <f t="shared" si="28"/>
        <v>2447.84</v>
      </c>
      <c r="H104" s="21">
        <f t="shared" si="28"/>
        <v>718.68000000000006</v>
      </c>
      <c r="I104" s="21">
        <v>1870</v>
      </c>
      <c r="J104" s="21">
        <v>1870</v>
      </c>
      <c r="K104" s="21">
        <v>1870</v>
      </c>
      <c r="L104" s="19"/>
    </row>
    <row r="105" spans="1:12" s="16" customFormat="1">
      <c r="A105" s="11" t="s">
        <v>13</v>
      </c>
      <c r="B105" s="17" t="s">
        <v>14</v>
      </c>
      <c r="C105" s="18">
        <v>57</v>
      </c>
      <c r="D105" s="18"/>
      <c r="E105" s="18"/>
      <c r="F105" s="18"/>
      <c r="G105" s="18">
        <f>C105+D105-E105-F105</f>
        <v>57</v>
      </c>
      <c r="H105" s="18">
        <f>G105-C105</f>
        <v>0</v>
      </c>
      <c r="I105" s="18">
        <v>57</v>
      </c>
      <c r="J105" s="18">
        <v>57</v>
      </c>
      <c r="K105" s="18">
        <v>57</v>
      </c>
      <c r="L105" s="19"/>
    </row>
    <row r="106" spans="1:12" s="16" customFormat="1">
      <c r="A106" s="11" t="s">
        <v>13</v>
      </c>
      <c r="B106" s="17" t="s">
        <v>15</v>
      </c>
      <c r="C106" s="18">
        <v>7</v>
      </c>
      <c r="D106" s="18"/>
      <c r="E106" s="18"/>
      <c r="F106" s="18"/>
      <c r="G106" s="18">
        <f>C106+D106-E106-F106</f>
        <v>7</v>
      </c>
      <c r="H106" s="18">
        <f>G106-C106</f>
        <v>0</v>
      </c>
      <c r="I106" s="18"/>
      <c r="J106" s="18"/>
      <c r="K106" s="18"/>
      <c r="L106" s="19"/>
    </row>
    <row r="107" spans="1:12" s="16" customFormat="1">
      <c r="A107" s="11" t="s">
        <v>13</v>
      </c>
      <c r="B107" s="17" t="s">
        <v>16</v>
      </c>
      <c r="C107" s="18">
        <f>C108+C109+C110+C111+C112+C113</f>
        <v>1729.16</v>
      </c>
      <c r="D107" s="18">
        <f t="shared" ref="D107:H107" si="29">D108+D109+D110+D111+D112+D113</f>
        <v>0</v>
      </c>
      <c r="E107" s="18">
        <f t="shared" si="29"/>
        <v>0</v>
      </c>
      <c r="F107" s="18">
        <f t="shared" si="29"/>
        <v>241.22200000000001</v>
      </c>
      <c r="G107" s="18">
        <f t="shared" si="29"/>
        <v>1487.84</v>
      </c>
      <c r="H107" s="18">
        <f t="shared" si="29"/>
        <v>-241.32</v>
      </c>
      <c r="I107" s="18">
        <f>I108+I109+I110+I111+I112+I113</f>
        <v>0</v>
      </c>
      <c r="J107" s="18">
        <f>J108+J109+J110+J111+J112+J113</f>
        <v>0</v>
      </c>
      <c r="K107" s="18">
        <f>K108+K109+K110+K111+K112+K113</f>
        <v>0</v>
      </c>
      <c r="L107" s="19"/>
    </row>
    <row r="108" spans="1:12" s="16" customFormat="1">
      <c r="A108" s="11" t="s">
        <v>13</v>
      </c>
      <c r="B108" s="20" t="s">
        <v>17</v>
      </c>
      <c r="C108" s="18">
        <v>1345.56</v>
      </c>
      <c r="D108" s="18"/>
      <c r="E108" s="18"/>
      <c r="F108" s="18">
        <f>101.912+103.53</f>
        <v>205.44200000000001</v>
      </c>
      <c r="G108" s="18">
        <f>C108+D108-E108-F108</f>
        <v>1140.1179999999999</v>
      </c>
      <c r="H108" s="18">
        <f t="shared" ref="H108:H114" si="30">G108-C108</f>
        <v>-205.44200000000001</v>
      </c>
      <c r="I108" s="18"/>
      <c r="J108" s="18"/>
      <c r="K108" s="18"/>
      <c r="L108" s="30" t="s">
        <v>45</v>
      </c>
    </row>
    <row r="109" spans="1:12" s="16" customFormat="1">
      <c r="A109" s="11" t="s">
        <v>13</v>
      </c>
      <c r="B109" s="20" t="s">
        <v>18</v>
      </c>
      <c r="C109" s="18">
        <v>379.9</v>
      </c>
      <c r="D109" s="18"/>
      <c r="E109" s="18"/>
      <c r="F109" s="18">
        <f>26.724+9.056</f>
        <v>35.78</v>
      </c>
      <c r="G109" s="18">
        <v>344.02199999999999</v>
      </c>
      <c r="H109" s="18">
        <f t="shared" si="30"/>
        <v>-35.877999999999986</v>
      </c>
      <c r="I109" s="18"/>
      <c r="J109" s="18"/>
      <c r="K109" s="18"/>
      <c r="L109" s="31"/>
    </row>
    <row r="110" spans="1:12" s="16" customFormat="1">
      <c r="A110" s="11"/>
      <c r="B110" s="20" t="s">
        <v>19</v>
      </c>
      <c r="C110" s="18"/>
      <c r="D110" s="18"/>
      <c r="E110" s="18"/>
      <c r="F110" s="18"/>
      <c r="G110" s="18">
        <f>C110+D110-E110-F110</f>
        <v>0</v>
      </c>
      <c r="H110" s="18">
        <f t="shared" si="30"/>
        <v>0</v>
      </c>
      <c r="I110" s="18"/>
      <c r="J110" s="18"/>
      <c r="K110" s="18"/>
      <c r="L110" s="31"/>
    </row>
    <row r="111" spans="1:12" s="16" customFormat="1">
      <c r="A111" s="11" t="s">
        <v>13</v>
      </c>
      <c r="B111" s="20" t="s">
        <v>20</v>
      </c>
      <c r="C111" s="18"/>
      <c r="D111" s="18"/>
      <c r="E111" s="18"/>
      <c r="F111" s="18"/>
      <c r="G111" s="18">
        <f>C111+D111-E111-F111</f>
        <v>0</v>
      </c>
      <c r="H111" s="18">
        <f t="shared" si="30"/>
        <v>0</v>
      </c>
      <c r="I111" s="18"/>
      <c r="J111" s="18"/>
      <c r="K111" s="18"/>
      <c r="L111" s="31"/>
    </row>
    <row r="112" spans="1:12" s="16" customFormat="1">
      <c r="A112" s="11" t="s">
        <v>13</v>
      </c>
      <c r="B112" s="20" t="s">
        <v>21</v>
      </c>
      <c r="C112" s="18"/>
      <c r="D112" s="18"/>
      <c r="E112" s="18"/>
      <c r="F112" s="18"/>
      <c r="G112" s="18">
        <f>C112+D112-E112-F112</f>
        <v>0</v>
      </c>
      <c r="H112" s="18">
        <f t="shared" si="30"/>
        <v>0</v>
      </c>
      <c r="I112" s="18"/>
      <c r="J112" s="18"/>
      <c r="K112" s="18"/>
      <c r="L112" s="32"/>
    </row>
    <row r="113" spans="1:14" s="16" customFormat="1">
      <c r="A113" s="11" t="s">
        <v>13</v>
      </c>
      <c r="B113" s="20" t="s">
        <v>22</v>
      </c>
      <c r="C113" s="18">
        <v>3.7</v>
      </c>
      <c r="D113" s="18"/>
      <c r="E113" s="18"/>
      <c r="F113" s="18"/>
      <c r="G113" s="18">
        <f>C113+D113-E113-F113</f>
        <v>3.7</v>
      </c>
      <c r="H113" s="18">
        <f t="shared" si="30"/>
        <v>0</v>
      </c>
      <c r="I113" s="18"/>
      <c r="J113" s="18"/>
      <c r="K113" s="18"/>
      <c r="L113" s="19"/>
    </row>
    <row r="114" spans="1:14" s="16" customFormat="1">
      <c r="A114" s="11" t="s">
        <v>13</v>
      </c>
      <c r="B114" s="17" t="s">
        <v>23</v>
      </c>
      <c r="C114" s="18"/>
      <c r="D114" s="18">
        <v>960</v>
      </c>
      <c r="E114" s="18"/>
      <c r="F114" s="18"/>
      <c r="G114" s="18">
        <f>C114+D114-E114-F114</f>
        <v>960</v>
      </c>
      <c r="H114" s="18">
        <f t="shared" si="30"/>
        <v>960</v>
      </c>
      <c r="I114" s="18"/>
      <c r="J114" s="18"/>
      <c r="K114" s="18"/>
      <c r="L114" s="19" t="s">
        <v>46</v>
      </c>
    </row>
    <row r="115" spans="1:14" s="16" customFormat="1">
      <c r="A115" s="11" t="s">
        <v>47</v>
      </c>
      <c r="B115" s="12" t="s">
        <v>48</v>
      </c>
      <c r="C115" s="13">
        <f>C118+C125</f>
        <v>6091.6</v>
      </c>
      <c r="D115" s="13">
        <f t="shared" ref="D115:H115" si="31">D118+D125</f>
        <v>0</v>
      </c>
      <c r="E115" s="13">
        <f t="shared" si="31"/>
        <v>0</v>
      </c>
      <c r="F115" s="13">
        <f t="shared" si="31"/>
        <v>0</v>
      </c>
      <c r="G115" s="21">
        <f t="shared" si="31"/>
        <v>6091.6</v>
      </c>
      <c r="H115" s="21">
        <f t="shared" si="31"/>
        <v>0</v>
      </c>
      <c r="I115" s="21">
        <v>7200</v>
      </c>
      <c r="J115" s="21">
        <v>7200</v>
      </c>
      <c r="K115" s="21">
        <v>7200</v>
      </c>
      <c r="L115" s="19"/>
    </row>
    <row r="116" spans="1:14" s="16" customFormat="1">
      <c r="A116" s="11" t="s">
        <v>13</v>
      </c>
      <c r="B116" s="17" t="s">
        <v>14</v>
      </c>
      <c r="C116" s="18"/>
      <c r="D116" s="18"/>
      <c r="E116" s="18"/>
      <c r="F116" s="18"/>
      <c r="G116" s="18">
        <f>C116+D116-E116-F116</f>
        <v>0</v>
      </c>
      <c r="H116" s="18">
        <f>G116-C116</f>
        <v>0</v>
      </c>
      <c r="I116" s="18"/>
      <c r="J116" s="18"/>
      <c r="K116" s="18"/>
      <c r="L116" s="19"/>
    </row>
    <row r="117" spans="1:14" s="16" customFormat="1">
      <c r="A117" s="11" t="s">
        <v>13</v>
      </c>
      <c r="B117" s="17" t="s">
        <v>15</v>
      </c>
      <c r="C117" s="18"/>
      <c r="D117" s="18"/>
      <c r="E117" s="18"/>
      <c r="F117" s="18"/>
      <c r="G117" s="18">
        <f>C117+D117-E117-F117</f>
        <v>0</v>
      </c>
      <c r="H117" s="18">
        <f>G117-C117</f>
        <v>0</v>
      </c>
      <c r="I117" s="18"/>
      <c r="J117" s="18"/>
      <c r="K117" s="18"/>
      <c r="L117" s="19"/>
    </row>
    <row r="118" spans="1:14" s="16" customFormat="1">
      <c r="A118" s="11" t="s">
        <v>13</v>
      </c>
      <c r="B118" s="17" t="s">
        <v>16</v>
      </c>
      <c r="C118" s="18">
        <f>C119+C120+C121+C122+C123+C124</f>
        <v>430</v>
      </c>
      <c r="D118" s="18">
        <f t="shared" ref="D118:H118" si="32">D119+D120+D121+D122+D123+D124</f>
        <v>0</v>
      </c>
      <c r="E118" s="18">
        <f t="shared" si="32"/>
        <v>0</v>
      </c>
      <c r="F118" s="18">
        <f t="shared" si="32"/>
        <v>0</v>
      </c>
      <c r="G118" s="18">
        <f t="shared" si="32"/>
        <v>430</v>
      </c>
      <c r="H118" s="18">
        <f t="shared" si="32"/>
        <v>0</v>
      </c>
      <c r="I118" s="18">
        <f>I119+I120+I121+I122+I123+I124</f>
        <v>0</v>
      </c>
      <c r="J118" s="18">
        <f>J119+J120+J121+J122+J123+J124</f>
        <v>0</v>
      </c>
      <c r="K118" s="18">
        <f>K119+K120+K121+K122+K123+K124</f>
        <v>0</v>
      </c>
      <c r="L118" s="19"/>
    </row>
    <row r="119" spans="1:14" s="16" customFormat="1">
      <c r="A119" s="11" t="s">
        <v>13</v>
      </c>
      <c r="B119" s="20" t="s">
        <v>17</v>
      </c>
      <c r="C119" s="18"/>
      <c r="D119" s="18"/>
      <c r="E119" s="18"/>
      <c r="F119" s="18"/>
      <c r="G119" s="18">
        <f t="shared" ref="G119:G125" si="33">C119+D119-E119-F119</f>
        <v>0</v>
      </c>
      <c r="H119" s="18">
        <f t="shared" ref="H119:H125" si="34">G119-C119</f>
        <v>0</v>
      </c>
      <c r="I119" s="18"/>
      <c r="J119" s="18"/>
      <c r="K119" s="18"/>
      <c r="L119" s="19"/>
    </row>
    <row r="120" spans="1:14" s="16" customFormat="1">
      <c r="A120" s="11" t="s">
        <v>13</v>
      </c>
      <c r="B120" s="20" t="s">
        <v>18</v>
      </c>
      <c r="C120" s="18">
        <v>430</v>
      </c>
      <c r="D120" s="18"/>
      <c r="E120" s="18"/>
      <c r="F120" s="18"/>
      <c r="G120" s="18">
        <f t="shared" si="33"/>
        <v>430</v>
      </c>
      <c r="H120" s="18">
        <f t="shared" si="34"/>
        <v>0</v>
      </c>
      <c r="I120" s="18"/>
      <c r="J120" s="18"/>
      <c r="K120" s="18"/>
      <c r="L120" s="19"/>
    </row>
    <row r="121" spans="1:14" s="16" customFormat="1">
      <c r="A121" s="11"/>
      <c r="B121" s="20" t="s">
        <v>19</v>
      </c>
      <c r="C121" s="18"/>
      <c r="D121" s="18"/>
      <c r="E121" s="18"/>
      <c r="F121" s="18"/>
      <c r="G121" s="18">
        <f t="shared" si="33"/>
        <v>0</v>
      </c>
      <c r="H121" s="18">
        <f t="shared" si="34"/>
        <v>0</v>
      </c>
      <c r="I121" s="18"/>
      <c r="J121" s="18"/>
      <c r="K121" s="18"/>
      <c r="L121" s="19"/>
    </row>
    <row r="122" spans="1:14" s="16" customFormat="1">
      <c r="A122" s="11" t="s">
        <v>13</v>
      </c>
      <c r="B122" s="20" t="s">
        <v>20</v>
      </c>
      <c r="C122" s="18"/>
      <c r="D122" s="18"/>
      <c r="E122" s="18"/>
      <c r="F122" s="18"/>
      <c r="G122" s="18">
        <f t="shared" si="33"/>
        <v>0</v>
      </c>
      <c r="H122" s="18">
        <f t="shared" si="34"/>
        <v>0</v>
      </c>
      <c r="I122" s="18"/>
      <c r="J122" s="18"/>
      <c r="K122" s="18"/>
      <c r="L122" s="19"/>
    </row>
    <row r="123" spans="1:14" s="16" customFormat="1">
      <c r="A123" s="11" t="s">
        <v>13</v>
      </c>
      <c r="B123" s="20" t="s">
        <v>21</v>
      </c>
      <c r="C123" s="18"/>
      <c r="D123" s="18"/>
      <c r="E123" s="18"/>
      <c r="F123" s="18"/>
      <c r="G123" s="18">
        <f t="shared" si="33"/>
        <v>0</v>
      </c>
      <c r="H123" s="18">
        <f t="shared" si="34"/>
        <v>0</v>
      </c>
      <c r="I123" s="18"/>
      <c r="J123" s="18"/>
      <c r="K123" s="18"/>
      <c r="L123" s="19"/>
    </row>
    <row r="124" spans="1:14" s="16" customFormat="1">
      <c r="A124" s="11" t="s">
        <v>13</v>
      </c>
      <c r="B124" s="20" t="s">
        <v>22</v>
      </c>
      <c r="C124" s="18"/>
      <c r="D124" s="18"/>
      <c r="E124" s="18"/>
      <c r="F124" s="18"/>
      <c r="G124" s="18">
        <f t="shared" si="33"/>
        <v>0</v>
      </c>
      <c r="H124" s="18">
        <f t="shared" si="34"/>
        <v>0</v>
      </c>
      <c r="I124" s="18"/>
      <c r="J124" s="18"/>
      <c r="K124" s="18"/>
      <c r="L124" s="19"/>
    </row>
    <row r="125" spans="1:14" s="16" customFormat="1">
      <c r="A125" s="11" t="s">
        <v>13</v>
      </c>
      <c r="B125" s="17" t="s">
        <v>23</v>
      </c>
      <c r="C125" s="18">
        <v>5661.6</v>
      </c>
      <c r="D125" s="18"/>
      <c r="E125" s="18"/>
      <c r="F125" s="18"/>
      <c r="G125" s="18">
        <f t="shared" si="33"/>
        <v>5661.6</v>
      </c>
      <c r="H125" s="18">
        <f t="shared" si="34"/>
        <v>0</v>
      </c>
      <c r="I125" s="18"/>
      <c r="J125" s="18"/>
      <c r="K125" s="18"/>
      <c r="L125" s="19"/>
    </row>
    <row r="126" spans="1:14" s="16" customFormat="1">
      <c r="A126" s="11" t="s">
        <v>49</v>
      </c>
      <c r="B126" s="12" t="s">
        <v>50</v>
      </c>
      <c r="C126" s="13">
        <f t="shared" ref="C126:C136" si="35">C137+C148</f>
        <v>5373.4000000000005</v>
      </c>
      <c r="D126" s="13">
        <f>SUM(D137,D148)</f>
        <v>35</v>
      </c>
      <c r="E126" s="13">
        <f t="shared" ref="E126:H126" si="36">SUM(E137,E148)</f>
        <v>29.5</v>
      </c>
      <c r="F126" s="13">
        <f t="shared" si="36"/>
        <v>483.65600000000006</v>
      </c>
      <c r="G126" s="21">
        <f t="shared" si="36"/>
        <v>4895.2440000000006</v>
      </c>
      <c r="H126" s="21">
        <f t="shared" si="36"/>
        <v>-478.15599999999984</v>
      </c>
      <c r="I126" s="21">
        <f t="shared" ref="I126:K136" si="37">I137+I148</f>
        <v>7695</v>
      </c>
      <c r="J126" s="21">
        <f t="shared" si="37"/>
        <v>7700</v>
      </c>
      <c r="K126" s="21">
        <f t="shared" si="37"/>
        <v>7700</v>
      </c>
      <c r="L126" s="19"/>
      <c r="M126" s="15"/>
    </row>
    <row r="127" spans="1:14" s="16" customFormat="1">
      <c r="A127" s="11" t="s">
        <v>13</v>
      </c>
      <c r="B127" s="17" t="s">
        <v>14</v>
      </c>
      <c r="C127" s="18">
        <f t="shared" si="35"/>
        <v>141</v>
      </c>
      <c r="D127" s="18">
        <f t="shared" ref="D127:H136" si="38">SUM(D138,D149)</f>
        <v>0</v>
      </c>
      <c r="E127" s="18">
        <f t="shared" si="38"/>
        <v>0</v>
      </c>
      <c r="F127" s="18">
        <f t="shared" si="38"/>
        <v>0</v>
      </c>
      <c r="G127" s="18">
        <f t="shared" si="38"/>
        <v>141</v>
      </c>
      <c r="H127" s="18">
        <f t="shared" si="38"/>
        <v>0</v>
      </c>
      <c r="I127" s="18">
        <f t="shared" si="37"/>
        <v>140</v>
      </c>
      <c r="J127" s="18">
        <f t="shared" si="37"/>
        <v>140</v>
      </c>
      <c r="K127" s="18">
        <f t="shared" si="37"/>
        <v>140</v>
      </c>
      <c r="L127" s="19"/>
      <c r="N127" s="15"/>
    </row>
    <row r="128" spans="1:14" s="16" customFormat="1">
      <c r="A128" s="11" t="s">
        <v>13</v>
      </c>
      <c r="B128" s="17" t="s">
        <v>15</v>
      </c>
      <c r="C128" s="18">
        <f t="shared" si="35"/>
        <v>24</v>
      </c>
      <c r="D128" s="18">
        <f t="shared" si="38"/>
        <v>4</v>
      </c>
      <c r="E128" s="18">
        <f t="shared" si="38"/>
        <v>0</v>
      </c>
      <c r="F128" s="18">
        <f t="shared" si="38"/>
        <v>0</v>
      </c>
      <c r="G128" s="18">
        <f t="shared" si="38"/>
        <v>28</v>
      </c>
      <c r="H128" s="18">
        <f t="shared" si="38"/>
        <v>4</v>
      </c>
      <c r="I128" s="18">
        <f t="shared" si="37"/>
        <v>0</v>
      </c>
      <c r="J128" s="18">
        <f t="shared" si="37"/>
        <v>0</v>
      </c>
      <c r="K128" s="18">
        <f t="shared" si="37"/>
        <v>0</v>
      </c>
      <c r="L128" s="19"/>
    </row>
    <row r="129" spans="1:13" s="16" customFormat="1">
      <c r="A129" s="11" t="s">
        <v>13</v>
      </c>
      <c r="B129" s="17" t="s">
        <v>16</v>
      </c>
      <c r="C129" s="18">
        <f t="shared" si="35"/>
        <v>3588.6000000000004</v>
      </c>
      <c r="D129" s="18">
        <f t="shared" si="38"/>
        <v>25</v>
      </c>
      <c r="E129" s="18">
        <f t="shared" si="38"/>
        <v>9.5</v>
      </c>
      <c r="F129" s="18">
        <f t="shared" si="38"/>
        <v>450.11600000000004</v>
      </c>
      <c r="G129" s="18">
        <f t="shared" si="38"/>
        <v>3153.9840000000004</v>
      </c>
      <c r="H129" s="18">
        <f t="shared" si="38"/>
        <v>-434.61599999999987</v>
      </c>
      <c r="I129" s="18">
        <f t="shared" si="37"/>
        <v>0</v>
      </c>
      <c r="J129" s="18">
        <f t="shared" si="37"/>
        <v>0</v>
      </c>
      <c r="K129" s="18">
        <f t="shared" si="37"/>
        <v>0</v>
      </c>
      <c r="L129" s="19"/>
    </row>
    <row r="130" spans="1:13" s="16" customFormat="1">
      <c r="A130" s="11" t="s">
        <v>13</v>
      </c>
      <c r="B130" s="20" t="s">
        <v>17</v>
      </c>
      <c r="C130" s="18">
        <f t="shared" si="35"/>
        <v>2148.6</v>
      </c>
      <c r="D130" s="18">
        <f t="shared" si="38"/>
        <v>0</v>
      </c>
      <c r="E130" s="18">
        <f t="shared" si="38"/>
        <v>0</v>
      </c>
      <c r="F130" s="18">
        <f t="shared" si="38"/>
        <v>324.96000000000004</v>
      </c>
      <c r="G130" s="18">
        <f t="shared" si="38"/>
        <v>1823.6399999999999</v>
      </c>
      <c r="H130" s="18">
        <f t="shared" si="38"/>
        <v>-324.96000000000004</v>
      </c>
      <c r="I130" s="18">
        <f t="shared" si="37"/>
        <v>0</v>
      </c>
      <c r="J130" s="18">
        <f t="shared" si="37"/>
        <v>0</v>
      </c>
      <c r="K130" s="18">
        <f t="shared" si="37"/>
        <v>0</v>
      </c>
      <c r="L130" s="19"/>
    </row>
    <row r="131" spans="1:13" s="16" customFormat="1">
      <c r="A131" s="11" t="s">
        <v>13</v>
      </c>
      <c r="B131" s="20" t="s">
        <v>18</v>
      </c>
      <c r="C131" s="18">
        <f t="shared" si="35"/>
        <v>1436</v>
      </c>
      <c r="D131" s="18">
        <f t="shared" si="38"/>
        <v>5</v>
      </c>
      <c r="E131" s="18">
        <f t="shared" si="38"/>
        <v>9.5</v>
      </c>
      <c r="F131" s="18">
        <f t="shared" si="38"/>
        <v>125.15600000000001</v>
      </c>
      <c r="G131" s="18">
        <f t="shared" si="38"/>
        <v>1306.3440000000003</v>
      </c>
      <c r="H131" s="18">
        <f t="shared" si="38"/>
        <v>-129.65599999999989</v>
      </c>
      <c r="I131" s="18">
        <f t="shared" si="37"/>
        <v>0</v>
      </c>
      <c r="J131" s="18">
        <f t="shared" si="37"/>
        <v>0</v>
      </c>
      <c r="K131" s="18">
        <f t="shared" si="37"/>
        <v>0</v>
      </c>
      <c r="L131" s="19"/>
    </row>
    <row r="132" spans="1:13" s="16" customFormat="1">
      <c r="A132" s="11"/>
      <c r="B132" s="20" t="s">
        <v>19</v>
      </c>
      <c r="C132" s="18">
        <f t="shared" si="35"/>
        <v>0</v>
      </c>
      <c r="D132" s="18">
        <f t="shared" si="38"/>
        <v>0</v>
      </c>
      <c r="E132" s="18">
        <f t="shared" si="38"/>
        <v>0</v>
      </c>
      <c r="F132" s="18">
        <f t="shared" si="38"/>
        <v>0</v>
      </c>
      <c r="G132" s="18">
        <f t="shared" si="38"/>
        <v>0</v>
      </c>
      <c r="H132" s="18">
        <f t="shared" si="38"/>
        <v>0</v>
      </c>
      <c r="I132" s="18">
        <f t="shared" si="37"/>
        <v>0</v>
      </c>
      <c r="J132" s="18">
        <f t="shared" si="37"/>
        <v>0</v>
      </c>
      <c r="K132" s="18">
        <f t="shared" si="37"/>
        <v>0</v>
      </c>
      <c r="L132" s="19"/>
    </row>
    <row r="133" spans="1:13" s="16" customFormat="1">
      <c r="A133" s="11" t="s">
        <v>13</v>
      </c>
      <c r="B133" s="20" t="s">
        <v>20</v>
      </c>
      <c r="C133" s="18">
        <f t="shared" si="35"/>
        <v>0</v>
      </c>
      <c r="D133" s="18">
        <f t="shared" si="38"/>
        <v>0</v>
      </c>
      <c r="E133" s="18">
        <f t="shared" si="38"/>
        <v>0</v>
      </c>
      <c r="F133" s="18">
        <f t="shared" si="38"/>
        <v>0</v>
      </c>
      <c r="G133" s="18">
        <f t="shared" si="38"/>
        <v>0</v>
      </c>
      <c r="H133" s="18">
        <f t="shared" si="38"/>
        <v>0</v>
      </c>
      <c r="I133" s="18">
        <f t="shared" si="37"/>
        <v>0</v>
      </c>
      <c r="J133" s="18">
        <f t="shared" si="37"/>
        <v>0</v>
      </c>
      <c r="K133" s="18">
        <f t="shared" si="37"/>
        <v>0</v>
      </c>
      <c r="L133" s="19"/>
    </row>
    <row r="134" spans="1:13" s="16" customFormat="1">
      <c r="A134" s="11" t="s">
        <v>13</v>
      </c>
      <c r="B134" s="20" t="s">
        <v>21</v>
      </c>
      <c r="C134" s="18">
        <f t="shared" si="35"/>
        <v>0</v>
      </c>
      <c r="D134" s="18">
        <f t="shared" si="38"/>
        <v>20</v>
      </c>
      <c r="E134" s="18">
        <f t="shared" si="38"/>
        <v>0</v>
      </c>
      <c r="F134" s="18">
        <f t="shared" si="38"/>
        <v>0</v>
      </c>
      <c r="G134" s="18">
        <f t="shared" si="38"/>
        <v>20</v>
      </c>
      <c r="H134" s="18">
        <f t="shared" si="38"/>
        <v>20</v>
      </c>
      <c r="I134" s="18">
        <f t="shared" si="37"/>
        <v>0</v>
      </c>
      <c r="J134" s="18">
        <f t="shared" si="37"/>
        <v>0</v>
      </c>
      <c r="K134" s="18">
        <f t="shared" si="37"/>
        <v>0</v>
      </c>
      <c r="L134" s="19"/>
    </row>
    <row r="135" spans="1:13" s="16" customFormat="1">
      <c r="A135" s="11" t="s">
        <v>13</v>
      </c>
      <c r="B135" s="20" t="s">
        <v>22</v>
      </c>
      <c r="C135" s="18">
        <f t="shared" si="35"/>
        <v>4</v>
      </c>
      <c r="D135" s="18">
        <f t="shared" si="38"/>
        <v>0</v>
      </c>
      <c r="E135" s="18">
        <f t="shared" si="38"/>
        <v>0</v>
      </c>
      <c r="F135" s="18">
        <f t="shared" si="38"/>
        <v>0</v>
      </c>
      <c r="G135" s="18">
        <f t="shared" si="38"/>
        <v>4</v>
      </c>
      <c r="H135" s="18">
        <f t="shared" si="38"/>
        <v>0</v>
      </c>
      <c r="I135" s="18">
        <f t="shared" si="37"/>
        <v>0</v>
      </c>
      <c r="J135" s="18">
        <f t="shared" si="37"/>
        <v>0</v>
      </c>
      <c r="K135" s="18">
        <f t="shared" si="37"/>
        <v>0</v>
      </c>
      <c r="L135" s="19"/>
    </row>
    <row r="136" spans="1:13" s="16" customFormat="1">
      <c r="A136" s="11" t="s">
        <v>13</v>
      </c>
      <c r="B136" s="17" t="s">
        <v>23</v>
      </c>
      <c r="C136" s="18">
        <f t="shared" si="35"/>
        <v>1784.8</v>
      </c>
      <c r="D136" s="18">
        <f t="shared" si="38"/>
        <v>10</v>
      </c>
      <c r="E136" s="18">
        <f t="shared" si="38"/>
        <v>20</v>
      </c>
      <c r="F136" s="18">
        <f t="shared" si="38"/>
        <v>33.54</v>
      </c>
      <c r="G136" s="18">
        <f t="shared" si="38"/>
        <v>1741.26</v>
      </c>
      <c r="H136" s="18">
        <f t="shared" si="38"/>
        <v>-43.539999999999964</v>
      </c>
      <c r="I136" s="18">
        <f t="shared" si="37"/>
        <v>0</v>
      </c>
      <c r="J136" s="18">
        <f t="shared" si="37"/>
        <v>0</v>
      </c>
      <c r="K136" s="18">
        <f t="shared" si="37"/>
        <v>0</v>
      </c>
      <c r="L136" s="19"/>
    </row>
    <row r="137" spans="1:13" s="16" customFormat="1">
      <c r="A137" s="11" t="s">
        <v>51</v>
      </c>
      <c r="B137" s="12" t="s">
        <v>52</v>
      </c>
      <c r="C137" s="13">
        <f>C140+C147</f>
        <v>228.95999999999998</v>
      </c>
      <c r="D137" s="13">
        <f t="shared" ref="D137:H137" si="39">D140+D147</f>
        <v>15</v>
      </c>
      <c r="E137" s="13">
        <f t="shared" si="39"/>
        <v>0</v>
      </c>
      <c r="F137" s="13">
        <f t="shared" si="39"/>
        <v>23.246000000000002</v>
      </c>
      <c r="G137" s="21">
        <f t="shared" si="39"/>
        <v>220.71399999999997</v>
      </c>
      <c r="H137" s="21">
        <f t="shared" si="39"/>
        <v>-8.2460000000000093</v>
      </c>
      <c r="I137" s="21">
        <v>195</v>
      </c>
      <c r="J137" s="21">
        <v>200</v>
      </c>
      <c r="K137" s="21">
        <v>200</v>
      </c>
      <c r="L137" s="19"/>
      <c r="M137" s="15"/>
    </row>
    <row r="138" spans="1:13" s="16" customFormat="1">
      <c r="A138" s="11" t="s">
        <v>13</v>
      </c>
      <c r="B138" s="17" t="s">
        <v>14</v>
      </c>
      <c r="C138" s="18">
        <v>10</v>
      </c>
      <c r="D138" s="18"/>
      <c r="E138" s="18"/>
      <c r="F138" s="18"/>
      <c r="G138" s="18">
        <f>C138+D138-E138-F138</f>
        <v>10</v>
      </c>
      <c r="H138" s="18">
        <f>G138-C138</f>
        <v>0</v>
      </c>
      <c r="I138" s="18">
        <v>9</v>
      </c>
      <c r="J138" s="18">
        <v>9</v>
      </c>
      <c r="K138" s="18">
        <v>9</v>
      </c>
      <c r="L138" s="19"/>
    </row>
    <row r="139" spans="1:13" s="16" customFormat="1">
      <c r="A139" s="11" t="s">
        <v>13</v>
      </c>
      <c r="B139" s="17" t="s">
        <v>15</v>
      </c>
      <c r="C139" s="18"/>
      <c r="D139" s="18">
        <v>2</v>
      </c>
      <c r="E139" s="18"/>
      <c r="F139" s="18"/>
      <c r="G139" s="18">
        <f>C139+D139-E139-F139</f>
        <v>2</v>
      </c>
      <c r="H139" s="18">
        <f>G139-C139</f>
        <v>2</v>
      </c>
      <c r="I139" s="18"/>
      <c r="J139" s="18"/>
      <c r="K139" s="18"/>
      <c r="L139" s="19"/>
    </row>
    <row r="140" spans="1:13" s="16" customFormat="1">
      <c r="A140" s="11" t="s">
        <v>13</v>
      </c>
      <c r="B140" s="17" t="s">
        <v>16</v>
      </c>
      <c r="C140" s="18">
        <f>C141+C142+C143+C144+C145+C146</f>
        <v>228.95999999999998</v>
      </c>
      <c r="D140" s="18">
        <f t="shared" ref="D140:H140" si="40">D141+D142+D143+D144+D145+D146</f>
        <v>5</v>
      </c>
      <c r="E140" s="18">
        <f t="shared" si="40"/>
        <v>0</v>
      </c>
      <c r="F140" s="18">
        <f t="shared" si="40"/>
        <v>23.246000000000002</v>
      </c>
      <c r="G140" s="18">
        <f t="shared" si="40"/>
        <v>210.71399999999997</v>
      </c>
      <c r="H140" s="18">
        <f t="shared" si="40"/>
        <v>-18.246000000000009</v>
      </c>
      <c r="I140" s="18">
        <f>I141+I142+I143+I144+I145+I146</f>
        <v>0</v>
      </c>
      <c r="J140" s="18">
        <f>J141+J142+J143+J144+J145+J146</f>
        <v>0</v>
      </c>
      <c r="K140" s="18">
        <f>K141+K142+K143+K144+K145+K146</f>
        <v>0</v>
      </c>
      <c r="L140" s="19"/>
    </row>
    <row r="141" spans="1:13" s="16" customFormat="1">
      <c r="A141" s="11" t="s">
        <v>13</v>
      </c>
      <c r="B141" s="20" t="s">
        <v>17</v>
      </c>
      <c r="C141" s="18">
        <f>118.8+22.56</f>
        <v>141.35999999999999</v>
      </c>
      <c r="D141" s="18"/>
      <c r="E141" s="18"/>
      <c r="F141" s="18">
        <f>10.73+10.73</f>
        <v>21.46</v>
      </c>
      <c r="G141" s="18">
        <f t="shared" ref="G141:G147" si="41">C141+D141-E141-F141</f>
        <v>119.89999999999998</v>
      </c>
      <c r="H141" s="18">
        <f t="shared" ref="H141:H147" si="42">G141-C141</f>
        <v>-21.460000000000008</v>
      </c>
      <c r="I141" s="18"/>
      <c r="J141" s="18"/>
      <c r="K141" s="18"/>
      <c r="L141" s="30" t="s">
        <v>53</v>
      </c>
    </row>
    <row r="142" spans="1:13" s="16" customFormat="1">
      <c r="A142" s="11" t="s">
        <v>13</v>
      </c>
      <c r="B142" s="20" t="s">
        <v>18</v>
      </c>
      <c r="C142" s="18">
        <f>60.6+25</f>
        <v>85.6</v>
      </c>
      <c r="D142" s="18">
        <v>5</v>
      </c>
      <c r="E142" s="18"/>
      <c r="F142" s="18">
        <f>0.921+0.865</f>
        <v>1.786</v>
      </c>
      <c r="G142" s="18">
        <f t="shared" si="41"/>
        <v>88.813999999999993</v>
      </c>
      <c r="H142" s="18">
        <f t="shared" si="42"/>
        <v>3.2139999999999986</v>
      </c>
      <c r="I142" s="18"/>
      <c r="J142" s="18"/>
      <c r="K142" s="18"/>
      <c r="L142" s="31"/>
    </row>
    <row r="143" spans="1:13" s="16" customFormat="1">
      <c r="A143" s="11"/>
      <c r="B143" s="20" t="s">
        <v>19</v>
      </c>
      <c r="C143" s="18"/>
      <c r="D143" s="18"/>
      <c r="E143" s="18"/>
      <c r="F143" s="18"/>
      <c r="G143" s="18">
        <f t="shared" si="41"/>
        <v>0</v>
      </c>
      <c r="H143" s="18">
        <f t="shared" si="42"/>
        <v>0</v>
      </c>
      <c r="I143" s="18"/>
      <c r="J143" s="18"/>
      <c r="K143" s="18"/>
      <c r="L143" s="31"/>
    </row>
    <row r="144" spans="1:13" s="16" customFormat="1">
      <c r="A144" s="11" t="s">
        <v>13</v>
      </c>
      <c r="B144" s="20" t="s">
        <v>20</v>
      </c>
      <c r="C144" s="18"/>
      <c r="D144" s="18"/>
      <c r="E144" s="18"/>
      <c r="F144" s="18"/>
      <c r="G144" s="18">
        <f t="shared" si="41"/>
        <v>0</v>
      </c>
      <c r="H144" s="18">
        <f t="shared" si="42"/>
        <v>0</v>
      </c>
      <c r="I144" s="18"/>
      <c r="J144" s="18"/>
      <c r="K144" s="18"/>
      <c r="L144" s="31"/>
    </row>
    <row r="145" spans="1:13" s="16" customFormat="1">
      <c r="A145" s="11" t="s">
        <v>13</v>
      </c>
      <c r="B145" s="20" t="s">
        <v>21</v>
      </c>
      <c r="C145" s="18"/>
      <c r="D145" s="18"/>
      <c r="E145" s="18"/>
      <c r="F145" s="18"/>
      <c r="G145" s="18">
        <f t="shared" si="41"/>
        <v>0</v>
      </c>
      <c r="H145" s="18">
        <f t="shared" si="42"/>
        <v>0</v>
      </c>
      <c r="I145" s="18"/>
      <c r="J145" s="18"/>
      <c r="K145" s="18"/>
      <c r="L145" s="32"/>
    </row>
    <row r="146" spans="1:13" s="16" customFormat="1">
      <c r="A146" s="11" t="s">
        <v>13</v>
      </c>
      <c r="B146" s="20" t="s">
        <v>22</v>
      </c>
      <c r="C146" s="18">
        <v>2</v>
      </c>
      <c r="D146" s="18"/>
      <c r="E146" s="18"/>
      <c r="F146" s="18"/>
      <c r="G146" s="18">
        <f t="shared" si="41"/>
        <v>2</v>
      </c>
      <c r="H146" s="18">
        <f t="shared" si="42"/>
        <v>0</v>
      </c>
      <c r="I146" s="18"/>
      <c r="J146" s="18"/>
      <c r="K146" s="18"/>
      <c r="L146" s="19"/>
    </row>
    <row r="147" spans="1:13" s="16" customFormat="1">
      <c r="A147" s="11" t="s">
        <v>13</v>
      </c>
      <c r="B147" s="17" t="s">
        <v>23</v>
      </c>
      <c r="C147" s="18"/>
      <c r="D147" s="18">
        <v>10</v>
      </c>
      <c r="E147" s="18"/>
      <c r="F147" s="18"/>
      <c r="G147" s="18">
        <f t="shared" si="41"/>
        <v>10</v>
      </c>
      <c r="H147" s="18">
        <f t="shared" si="42"/>
        <v>10</v>
      </c>
      <c r="I147" s="18"/>
      <c r="J147" s="18"/>
      <c r="K147" s="18"/>
      <c r="L147" s="19" t="s">
        <v>54</v>
      </c>
    </row>
    <row r="148" spans="1:13" s="16" customFormat="1">
      <c r="A148" s="11" t="s">
        <v>55</v>
      </c>
      <c r="B148" s="12" t="s">
        <v>56</v>
      </c>
      <c r="C148" s="13">
        <f>C151+C158</f>
        <v>5144.4400000000005</v>
      </c>
      <c r="D148" s="13">
        <f t="shared" ref="D148:H148" si="43">D151+D158</f>
        <v>20</v>
      </c>
      <c r="E148" s="13">
        <f t="shared" si="43"/>
        <v>29.5</v>
      </c>
      <c r="F148" s="13">
        <f t="shared" si="43"/>
        <v>460.41000000000008</v>
      </c>
      <c r="G148" s="21">
        <f t="shared" si="43"/>
        <v>4674.5300000000007</v>
      </c>
      <c r="H148" s="21">
        <f t="shared" si="43"/>
        <v>-469.90999999999985</v>
      </c>
      <c r="I148" s="21">
        <v>7500</v>
      </c>
      <c r="J148" s="21">
        <v>7500</v>
      </c>
      <c r="K148" s="21">
        <v>7500</v>
      </c>
      <c r="L148" s="19"/>
      <c r="M148" s="15"/>
    </row>
    <row r="149" spans="1:13" s="16" customFormat="1">
      <c r="A149" s="11" t="s">
        <v>13</v>
      </c>
      <c r="B149" s="17" t="s">
        <v>14</v>
      </c>
      <c r="C149" s="18">
        <v>131</v>
      </c>
      <c r="D149" s="18"/>
      <c r="E149" s="18"/>
      <c r="F149" s="18"/>
      <c r="G149" s="18">
        <f>C149+D149-E149-F149</f>
        <v>131</v>
      </c>
      <c r="H149" s="18">
        <f>G149-C149</f>
        <v>0</v>
      </c>
      <c r="I149" s="18">
        <v>131</v>
      </c>
      <c r="J149" s="18">
        <v>131</v>
      </c>
      <c r="K149" s="18">
        <v>131</v>
      </c>
      <c r="L149" s="19"/>
    </row>
    <row r="150" spans="1:13" s="16" customFormat="1">
      <c r="A150" s="11" t="s">
        <v>13</v>
      </c>
      <c r="B150" s="17" t="s">
        <v>15</v>
      </c>
      <c r="C150" s="18">
        <v>24</v>
      </c>
      <c r="D150" s="18">
        <v>2</v>
      </c>
      <c r="E150" s="18"/>
      <c r="F150" s="18"/>
      <c r="G150" s="18">
        <f>C150+D150-E150-F150</f>
        <v>26</v>
      </c>
      <c r="H150" s="18">
        <f>G150-C150</f>
        <v>2</v>
      </c>
      <c r="I150" s="18"/>
      <c r="J150" s="18"/>
      <c r="K150" s="18"/>
      <c r="L150" s="30" t="s">
        <v>57</v>
      </c>
    </row>
    <row r="151" spans="1:13" s="16" customFormat="1">
      <c r="A151" s="11" t="s">
        <v>13</v>
      </c>
      <c r="B151" s="17" t="s">
        <v>16</v>
      </c>
      <c r="C151" s="18">
        <f>C152+C153+C154+C155+C156+C157</f>
        <v>3359.6400000000003</v>
      </c>
      <c r="D151" s="18">
        <f t="shared" ref="D151:H151" si="44">D152+D153+D154+D155+D156+D157</f>
        <v>20</v>
      </c>
      <c r="E151" s="18">
        <f t="shared" si="44"/>
        <v>9.5</v>
      </c>
      <c r="F151" s="18">
        <f t="shared" si="44"/>
        <v>426.87000000000006</v>
      </c>
      <c r="G151" s="18">
        <f t="shared" si="44"/>
        <v>2943.2700000000004</v>
      </c>
      <c r="H151" s="18">
        <f t="shared" si="44"/>
        <v>-416.36999999999989</v>
      </c>
      <c r="I151" s="18">
        <f>I152+I153+I154+I155+I156+I157</f>
        <v>0</v>
      </c>
      <c r="J151" s="18">
        <f>J152+J153+J154+J155+J156+J157</f>
        <v>0</v>
      </c>
      <c r="K151" s="18">
        <f>K152+K153+K154+K155+K156+K157</f>
        <v>0</v>
      </c>
      <c r="L151" s="31"/>
    </row>
    <row r="152" spans="1:13" s="16" customFormat="1">
      <c r="A152" s="11" t="s">
        <v>13</v>
      </c>
      <c r="B152" s="20" t="s">
        <v>17</v>
      </c>
      <c r="C152" s="18">
        <v>2007.24</v>
      </c>
      <c r="D152" s="18"/>
      <c r="E152" s="18"/>
      <c r="F152" s="18">
        <f>150.115+149.335+4.05</f>
        <v>303.50000000000006</v>
      </c>
      <c r="G152" s="18">
        <f t="shared" ref="G152:G158" si="45">C152+D152-E152-F152</f>
        <v>1703.74</v>
      </c>
      <c r="H152" s="18">
        <f t="shared" ref="H152:H158" si="46">G152-C152</f>
        <v>-303.5</v>
      </c>
      <c r="I152" s="18"/>
      <c r="J152" s="18"/>
      <c r="K152" s="18"/>
      <c r="L152" s="31"/>
    </row>
    <row r="153" spans="1:13" s="16" customFormat="1">
      <c r="A153" s="11" t="s">
        <v>13</v>
      </c>
      <c r="B153" s="20" t="s">
        <v>18</v>
      </c>
      <c r="C153" s="18">
        <v>1350.4</v>
      </c>
      <c r="D153" s="18"/>
      <c r="E153" s="18">
        <v>9.5</v>
      </c>
      <c r="F153" s="18">
        <f>36.53+21.91+13.24+0.48+51.21</f>
        <v>123.37</v>
      </c>
      <c r="G153" s="18">
        <f t="shared" si="45"/>
        <v>1217.5300000000002</v>
      </c>
      <c r="H153" s="18">
        <f t="shared" si="46"/>
        <v>-132.86999999999989</v>
      </c>
      <c r="I153" s="18"/>
      <c r="J153" s="18"/>
      <c r="K153" s="18"/>
      <c r="L153" s="31"/>
    </row>
    <row r="154" spans="1:13" s="16" customFormat="1">
      <c r="A154" s="11"/>
      <c r="B154" s="20" t="s">
        <v>19</v>
      </c>
      <c r="C154" s="18"/>
      <c r="D154" s="18"/>
      <c r="E154" s="18"/>
      <c r="F154" s="18"/>
      <c r="G154" s="18">
        <f t="shared" si="45"/>
        <v>0</v>
      </c>
      <c r="H154" s="18">
        <f t="shared" si="46"/>
        <v>0</v>
      </c>
      <c r="I154" s="18"/>
      <c r="J154" s="18"/>
      <c r="K154" s="18"/>
      <c r="L154" s="31"/>
    </row>
    <row r="155" spans="1:13" s="16" customFormat="1">
      <c r="A155" s="11" t="s">
        <v>13</v>
      </c>
      <c r="B155" s="20" t="s">
        <v>20</v>
      </c>
      <c r="C155" s="18"/>
      <c r="D155" s="18"/>
      <c r="E155" s="18"/>
      <c r="F155" s="18"/>
      <c r="G155" s="18">
        <f t="shared" si="45"/>
        <v>0</v>
      </c>
      <c r="H155" s="18">
        <f t="shared" si="46"/>
        <v>0</v>
      </c>
      <c r="I155" s="18"/>
      <c r="J155" s="18"/>
      <c r="K155" s="18"/>
      <c r="L155" s="31"/>
    </row>
    <row r="156" spans="1:13" s="16" customFormat="1">
      <c r="A156" s="11" t="s">
        <v>13</v>
      </c>
      <c r="B156" s="20" t="s">
        <v>21</v>
      </c>
      <c r="C156" s="18"/>
      <c r="D156" s="18">
        <v>20</v>
      </c>
      <c r="E156" s="18"/>
      <c r="F156" s="18"/>
      <c r="G156" s="18">
        <f t="shared" si="45"/>
        <v>20</v>
      </c>
      <c r="H156" s="18">
        <f t="shared" si="46"/>
        <v>20</v>
      </c>
      <c r="I156" s="18"/>
      <c r="J156" s="18"/>
      <c r="K156" s="18"/>
      <c r="L156" s="32"/>
    </row>
    <row r="157" spans="1:13" s="16" customFormat="1">
      <c r="A157" s="11" t="s">
        <v>13</v>
      </c>
      <c r="B157" s="20" t="s">
        <v>22</v>
      </c>
      <c r="C157" s="18">
        <v>2</v>
      </c>
      <c r="D157" s="18"/>
      <c r="E157" s="18"/>
      <c r="F157" s="18"/>
      <c r="G157" s="18">
        <f t="shared" si="45"/>
        <v>2</v>
      </c>
      <c r="H157" s="18">
        <f t="shared" si="46"/>
        <v>0</v>
      </c>
      <c r="I157" s="18"/>
      <c r="J157" s="18"/>
      <c r="K157" s="18"/>
      <c r="L157" s="19"/>
    </row>
    <row r="158" spans="1:13" s="16" customFormat="1">
      <c r="A158" s="11" t="s">
        <v>13</v>
      </c>
      <c r="B158" s="17" t="s">
        <v>23</v>
      </c>
      <c r="C158" s="25">
        <v>1784.8</v>
      </c>
      <c r="D158" s="25"/>
      <c r="E158" s="25">
        <v>20</v>
      </c>
      <c r="F158" s="25">
        <v>33.54</v>
      </c>
      <c r="G158" s="25">
        <f t="shared" si="45"/>
        <v>1731.26</v>
      </c>
      <c r="H158" s="25">
        <f t="shared" si="46"/>
        <v>-53.539999999999964</v>
      </c>
      <c r="I158" s="25"/>
      <c r="J158" s="25"/>
      <c r="K158" s="25"/>
      <c r="L158" s="19"/>
    </row>
    <row r="159" spans="1:13" s="16" customFormat="1">
      <c r="A159" s="11" t="s">
        <v>58</v>
      </c>
      <c r="B159" s="12" t="s">
        <v>59</v>
      </c>
      <c r="C159" s="13">
        <f t="shared" ref="C159:C169" si="47">C170+C181+C192+C203+C214+C225</f>
        <v>18065.739999999998</v>
      </c>
      <c r="D159" s="13">
        <f>SUM(D170,D181,D192,D203,D214,D225)</f>
        <v>9.5</v>
      </c>
      <c r="E159" s="13">
        <f t="shared" ref="E159:H159" si="48">SUM(E170,E181,E192,E203,E214,E225)</f>
        <v>0</v>
      </c>
      <c r="F159" s="13">
        <f t="shared" si="48"/>
        <v>2286.1570000000002</v>
      </c>
      <c r="G159" s="21">
        <f t="shared" si="48"/>
        <v>15789.083000000001</v>
      </c>
      <c r="H159" s="21">
        <f t="shared" si="48"/>
        <v>-2276.6569999999997</v>
      </c>
      <c r="I159" s="21">
        <f t="shared" ref="I159:K169" si="49">I170+I181+I192+I203+I214+I225</f>
        <v>20900</v>
      </c>
      <c r="J159" s="21">
        <f t="shared" si="49"/>
        <v>20900</v>
      </c>
      <c r="K159" s="21">
        <f t="shared" si="49"/>
        <v>20900</v>
      </c>
      <c r="L159" s="19"/>
      <c r="M159" s="15"/>
    </row>
    <row r="160" spans="1:13" s="16" customFormat="1">
      <c r="A160" s="11" t="s">
        <v>13</v>
      </c>
      <c r="B160" s="17" t="s">
        <v>14</v>
      </c>
      <c r="C160" s="18">
        <f t="shared" si="47"/>
        <v>786</v>
      </c>
      <c r="D160" s="18">
        <f t="shared" ref="D160:H169" si="50">SUM(D171,D182,D193,D204,D215,D226)</f>
        <v>0</v>
      </c>
      <c r="E160" s="18">
        <f t="shared" si="50"/>
        <v>0</v>
      </c>
      <c r="F160" s="18">
        <f t="shared" si="50"/>
        <v>0</v>
      </c>
      <c r="G160" s="18">
        <f t="shared" si="50"/>
        <v>786</v>
      </c>
      <c r="H160" s="18">
        <f t="shared" si="50"/>
        <v>0</v>
      </c>
      <c r="I160" s="18">
        <f t="shared" si="49"/>
        <v>782</v>
      </c>
      <c r="J160" s="18">
        <f t="shared" si="49"/>
        <v>782</v>
      </c>
      <c r="K160" s="18">
        <f t="shared" si="49"/>
        <v>782</v>
      </c>
      <c r="L160" s="19"/>
    </row>
    <row r="161" spans="1:12" s="16" customFormat="1">
      <c r="A161" s="11" t="s">
        <v>13</v>
      </c>
      <c r="B161" s="17" t="s">
        <v>15</v>
      </c>
      <c r="C161" s="18">
        <f t="shared" si="47"/>
        <v>69</v>
      </c>
      <c r="D161" s="18">
        <f t="shared" si="50"/>
        <v>8</v>
      </c>
      <c r="E161" s="18">
        <f t="shared" si="50"/>
        <v>0</v>
      </c>
      <c r="F161" s="18">
        <f t="shared" si="50"/>
        <v>0</v>
      </c>
      <c r="G161" s="18">
        <f t="shared" si="50"/>
        <v>77</v>
      </c>
      <c r="H161" s="18">
        <f t="shared" si="50"/>
        <v>8</v>
      </c>
      <c r="I161" s="18">
        <f t="shared" si="49"/>
        <v>0</v>
      </c>
      <c r="J161" s="18">
        <f t="shared" si="49"/>
        <v>0</v>
      </c>
      <c r="K161" s="18">
        <f t="shared" si="49"/>
        <v>0</v>
      </c>
      <c r="L161" s="19"/>
    </row>
    <row r="162" spans="1:12" s="16" customFormat="1">
      <c r="A162" s="11" t="s">
        <v>13</v>
      </c>
      <c r="B162" s="17" t="s">
        <v>16</v>
      </c>
      <c r="C162" s="18">
        <f t="shared" si="47"/>
        <v>17345.740000000002</v>
      </c>
      <c r="D162" s="18">
        <f t="shared" si="50"/>
        <v>9.5</v>
      </c>
      <c r="E162" s="18">
        <f t="shared" si="50"/>
        <v>0</v>
      </c>
      <c r="F162" s="18">
        <f t="shared" si="50"/>
        <v>2272.2870000000003</v>
      </c>
      <c r="G162" s="18">
        <f t="shared" si="50"/>
        <v>15082.953</v>
      </c>
      <c r="H162" s="18">
        <f t="shared" si="50"/>
        <v>-2262.7869999999998</v>
      </c>
      <c r="I162" s="18">
        <f t="shared" si="49"/>
        <v>0</v>
      </c>
      <c r="J162" s="18">
        <f t="shared" si="49"/>
        <v>0</v>
      </c>
      <c r="K162" s="18">
        <f t="shared" si="49"/>
        <v>0</v>
      </c>
      <c r="L162" s="19"/>
    </row>
    <row r="163" spans="1:12" s="16" customFormat="1">
      <c r="A163" s="11" t="s">
        <v>13</v>
      </c>
      <c r="B163" s="20" t="s">
        <v>17</v>
      </c>
      <c r="C163" s="18">
        <f t="shared" si="47"/>
        <v>12278.94</v>
      </c>
      <c r="D163" s="18">
        <f t="shared" si="50"/>
        <v>0</v>
      </c>
      <c r="E163" s="18">
        <f t="shared" si="50"/>
        <v>0</v>
      </c>
      <c r="F163" s="18">
        <f t="shared" si="50"/>
        <v>2013.6689999999999</v>
      </c>
      <c r="G163" s="18">
        <f t="shared" si="50"/>
        <v>10265.271000000001</v>
      </c>
      <c r="H163" s="18">
        <f t="shared" si="50"/>
        <v>-2013.6689999999999</v>
      </c>
      <c r="I163" s="18">
        <f t="shared" si="49"/>
        <v>0</v>
      </c>
      <c r="J163" s="18">
        <f t="shared" si="49"/>
        <v>0</v>
      </c>
      <c r="K163" s="18">
        <f t="shared" si="49"/>
        <v>0</v>
      </c>
      <c r="L163" s="19"/>
    </row>
    <row r="164" spans="1:12" s="16" customFormat="1">
      <c r="A164" s="11" t="s">
        <v>13</v>
      </c>
      <c r="B164" s="20" t="s">
        <v>18</v>
      </c>
      <c r="C164" s="18">
        <f t="shared" si="47"/>
        <v>5055.8</v>
      </c>
      <c r="D164" s="18">
        <f t="shared" si="50"/>
        <v>9.5</v>
      </c>
      <c r="E164" s="18">
        <f t="shared" si="50"/>
        <v>0</v>
      </c>
      <c r="F164" s="18">
        <f t="shared" si="50"/>
        <v>258.59300000000002</v>
      </c>
      <c r="G164" s="18">
        <f t="shared" si="50"/>
        <v>4806.7070000000003</v>
      </c>
      <c r="H164" s="18">
        <f t="shared" si="50"/>
        <v>-249.09299999999996</v>
      </c>
      <c r="I164" s="18">
        <f t="shared" si="49"/>
        <v>0</v>
      </c>
      <c r="J164" s="18">
        <f t="shared" si="49"/>
        <v>0</v>
      </c>
      <c r="K164" s="18">
        <f t="shared" si="49"/>
        <v>0</v>
      </c>
      <c r="L164" s="19"/>
    </row>
    <row r="165" spans="1:12" s="16" customFormat="1">
      <c r="A165" s="11"/>
      <c r="B165" s="20" t="s">
        <v>19</v>
      </c>
      <c r="C165" s="18">
        <f t="shared" si="47"/>
        <v>0</v>
      </c>
      <c r="D165" s="18">
        <f t="shared" si="50"/>
        <v>0</v>
      </c>
      <c r="E165" s="18">
        <f t="shared" si="50"/>
        <v>0</v>
      </c>
      <c r="F165" s="18">
        <f t="shared" si="50"/>
        <v>0</v>
      </c>
      <c r="G165" s="18">
        <f t="shared" si="50"/>
        <v>0</v>
      </c>
      <c r="H165" s="18">
        <f t="shared" si="50"/>
        <v>0</v>
      </c>
      <c r="I165" s="18">
        <f t="shared" si="49"/>
        <v>0</v>
      </c>
      <c r="J165" s="18">
        <f t="shared" si="49"/>
        <v>0</v>
      </c>
      <c r="K165" s="18">
        <f t="shared" si="49"/>
        <v>0</v>
      </c>
      <c r="L165" s="19"/>
    </row>
    <row r="166" spans="1:12" s="16" customFormat="1">
      <c r="A166" s="11" t="s">
        <v>13</v>
      </c>
      <c r="B166" s="20" t="s">
        <v>20</v>
      </c>
      <c r="C166" s="18">
        <f t="shared" si="47"/>
        <v>0</v>
      </c>
      <c r="D166" s="18">
        <f t="shared" si="50"/>
        <v>0</v>
      </c>
      <c r="E166" s="18">
        <f t="shared" si="50"/>
        <v>0</v>
      </c>
      <c r="F166" s="18">
        <f t="shared" si="50"/>
        <v>0</v>
      </c>
      <c r="G166" s="18">
        <f t="shared" si="50"/>
        <v>0</v>
      </c>
      <c r="H166" s="18">
        <f t="shared" si="50"/>
        <v>0</v>
      </c>
      <c r="I166" s="18">
        <f t="shared" si="49"/>
        <v>0</v>
      </c>
      <c r="J166" s="18">
        <f t="shared" si="49"/>
        <v>0</v>
      </c>
      <c r="K166" s="18">
        <f t="shared" si="49"/>
        <v>0</v>
      </c>
      <c r="L166" s="19"/>
    </row>
    <row r="167" spans="1:12" s="16" customFormat="1">
      <c r="A167" s="11" t="s">
        <v>13</v>
      </c>
      <c r="B167" s="20" t="s">
        <v>21</v>
      </c>
      <c r="C167" s="18">
        <f t="shared" si="47"/>
        <v>0</v>
      </c>
      <c r="D167" s="18">
        <f t="shared" si="50"/>
        <v>0</v>
      </c>
      <c r="E167" s="18">
        <f t="shared" si="50"/>
        <v>0</v>
      </c>
      <c r="F167" s="18">
        <f t="shared" si="50"/>
        <v>0</v>
      </c>
      <c r="G167" s="18">
        <f t="shared" si="50"/>
        <v>0</v>
      </c>
      <c r="H167" s="18">
        <f t="shared" si="50"/>
        <v>0</v>
      </c>
      <c r="I167" s="18">
        <f t="shared" si="49"/>
        <v>0</v>
      </c>
      <c r="J167" s="18">
        <f t="shared" si="49"/>
        <v>0</v>
      </c>
      <c r="K167" s="18">
        <f t="shared" si="49"/>
        <v>0</v>
      </c>
      <c r="L167" s="19"/>
    </row>
    <row r="168" spans="1:12" s="16" customFormat="1">
      <c r="A168" s="11" t="s">
        <v>13</v>
      </c>
      <c r="B168" s="20" t="s">
        <v>22</v>
      </c>
      <c r="C168" s="18">
        <f t="shared" si="47"/>
        <v>11</v>
      </c>
      <c r="D168" s="18">
        <f t="shared" si="50"/>
        <v>0</v>
      </c>
      <c r="E168" s="18">
        <f t="shared" si="50"/>
        <v>0</v>
      </c>
      <c r="F168" s="18">
        <f t="shared" si="50"/>
        <v>2.5000000000000001E-2</v>
      </c>
      <c r="G168" s="18">
        <f t="shared" si="50"/>
        <v>10.975</v>
      </c>
      <c r="H168" s="18">
        <f t="shared" si="50"/>
        <v>-2.5000000000000022E-2</v>
      </c>
      <c r="I168" s="18">
        <f t="shared" si="49"/>
        <v>0</v>
      </c>
      <c r="J168" s="18">
        <f t="shared" si="49"/>
        <v>0</v>
      </c>
      <c r="K168" s="18">
        <f t="shared" si="49"/>
        <v>0</v>
      </c>
      <c r="L168" s="19"/>
    </row>
    <row r="169" spans="1:12" s="16" customFormat="1">
      <c r="A169" s="11" t="s">
        <v>13</v>
      </c>
      <c r="B169" s="17" t="s">
        <v>23</v>
      </c>
      <c r="C169" s="18">
        <f t="shared" si="47"/>
        <v>720</v>
      </c>
      <c r="D169" s="18">
        <f t="shared" si="50"/>
        <v>0</v>
      </c>
      <c r="E169" s="18">
        <f t="shared" si="50"/>
        <v>0</v>
      </c>
      <c r="F169" s="18">
        <f t="shared" si="50"/>
        <v>13.87</v>
      </c>
      <c r="G169" s="18">
        <f t="shared" si="50"/>
        <v>706.13</v>
      </c>
      <c r="H169" s="18">
        <f t="shared" si="50"/>
        <v>-13.870000000000005</v>
      </c>
      <c r="I169" s="18">
        <f t="shared" si="49"/>
        <v>0</v>
      </c>
      <c r="J169" s="18">
        <f t="shared" si="49"/>
        <v>0</v>
      </c>
      <c r="K169" s="18">
        <f t="shared" si="49"/>
        <v>0</v>
      </c>
      <c r="L169" s="19"/>
    </row>
    <row r="170" spans="1:12" s="16" customFormat="1" ht="26.4">
      <c r="A170" s="11" t="s">
        <v>60</v>
      </c>
      <c r="B170" s="12" t="s">
        <v>61</v>
      </c>
      <c r="C170" s="13">
        <f t="shared" ref="C170:H170" si="51">C173+C180</f>
        <v>1631.2800000000002</v>
      </c>
      <c r="D170" s="13">
        <f t="shared" si="51"/>
        <v>0</v>
      </c>
      <c r="E170" s="13">
        <f t="shared" si="51"/>
        <v>0</v>
      </c>
      <c r="F170" s="13">
        <f t="shared" si="51"/>
        <v>204.732</v>
      </c>
      <c r="G170" s="21">
        <f t="shared" si="51"/>
        <v>1426.5480000000002</v>
      </c>
      <c r="H170" s="21">
        <f t="shared" si="51"/>
        <v>-204.73199999999991</v>
      </c>
      <c r="I170" s="21">
        <v>1800</v>
      </c>
      <c r="J170" s="21">
        <v>1800</v>
      </c>
      <c r="K170" s="21">
        <v>1800</v>
      </c>
      <c r="L170" s="19"/>
    </row>
    <row r="171" spans="1:12" s="16" customFormat="1">
      <c r="A171" s="11" t="s">
        <v>13</v>
      </c>
      <c r="B171" s="17" t="s">
        <v>14</v>
      </c>
      <c r="C171" s="18">
        <v>69</v>
      </c>
      <c r="D171" s="18"/>
      <c r="E171" s="18"/>
      <c r="F171" s="18"/>
      <c r="G171" s="18">
        <f>C171+D171-E171-F171</f>
        <v>69</v>
      </c>
      <c r="H171" s="18">
        <f>G171-C171</f>
        <v>0</v>
      </c>
      <c r="I171" s="18">
        <v>69</v>
      </c>
      <c r="J171" s="18">
        <v>69</v>
      </c>
      <c r="K171" s="18">
        <v>69</v>
      </c>
      <c r="L171" s="19"/>
    </row>
    <row r="172" spans="1:12" s="16" customFormat="1">
      <c r="A172" s="11" t="s">
        <v>13</v>
      </c>
      <c r="B172" s="17" t="s">
        <v>15</v>
      </c>
      <c r="C172" s="18">
        <v>5</v>
      </c>
      <c r="D172" s="18">
        <v>1</v>
      </c>
      <c r="E172" s="18"/>
      <c r="F172" s="18"/>
      <c r="G172" s="18">
        <f>C172+D172-E172-F172</f>
        <v>6</v>
      </c>
      <c r="H172" s="18">
        <f>G172-C172</f>
        <v>1</v>
      </c>
      <c r="I172" s="18"/>
      <c r="J172" s="18"/>
      <c r="K172" s="18"/>
      <c r="L172" s="19"/>
    </row>
    <row r="173" spans="1:12" s="16" customFormat="1">
      <c r="A173" s="11" t="s">
        <v>13</v>
      </c>
      <c r="B173" s="17" t="s">
        <v>16</v>
      </c>
      <c r="C173" s="18">
        <f t="shared" ref="C173:K173" si="52">C174+C175+C176+C177+C178+C179</f>
        <v>1611.2800000000002</v>
      </c>
      <c r="D173" s="18">
        <f t="shared" si="52"/>
        <v>0</v>
      </c>
      <c r="E173" s="18">
        <f t="shared" si="52"/>
        <v>0</v>
      </c>
      <c r="F173" s="18">
        <f t="shared" si="52"/>
        <v>204.732</v>
      </c>
      <c r="G173" s="18">
        <f t="shared" si="52"/>
        <v>1406.5480000000002</v>
      </c>
      <c r="H173" s="18">
        <f t="shared" si="52"/>
        <v>-204.73199999999991</v>
      </c>
      <c r="I173" s="18">
        <f t="shared" si="52"/>
        <v>0</v>
      </c>
      <c r="J173" s="18">
        <f t="shared" si="52"/>
        <v>0</v>
      </c>
      <c r="K173" s="18">
        <f t="shared" si="52"/>
        <v>0</v>
      </c>
      <c r="L173" s="19"/>
    </row>
    <row r="174" spans="1:12" s="16" customFormat="1">
      <c r="A174" s="11" t="s">
        <v>13</v>
      </c>
      <c r="B174" s="20" t="s">
        <v>17</v>
      </c>
      <c r="C174" s="18">
        <v>1105.68</v>
      </c>
      <c r="D174" s="18"/>
      <c r="E174" s="18"/>
      <c r="F174" s="18">
        <f>95.947+84.7</f>
        <v>180.64699999999999</v>
      </c>
      <c r="G174" s="18">
        <f t="shared" ref="G174:G180" si="53">C174+D174-E174-F174</f>
        <v>925.03300000000013</v>
      </c>
      <c r="H174" s="18">
        <f t="shared" ref="H174:H180" si="54">G174-C174</f>
        <v>-180.64699999999993</v>
      </c>
      <c r="I174" s="18"/>
      <c r="J174" s="18"/>
      <c r="K174" s="18"/>
      <c r="L174" s="30" t="s">
        <v>62</v>
      </c>
    </row>
    <row r="175" spans="1:12" s="16" customFormat="1">
      <c r="A175" s="11" t="s">
        <v>13</v>
      </c>
      <c r="B175" s="20" t="s">
        <v>18</v>
      </c>
      <c r="C175" s="18">
        <v>505.6</v>
      </c>
      <c r="D175" s="18"/>
      <c r="E175" s="18"/>
      <c r="F175" s="18">
        <f>11.27+12.815</f>
        <v>24.085000000000001</v>
      </c>
      <c r="G175" s="18">
        <f t="shared" si="53"/>
        <v>481.51500000000004</v>
      </c>
      <c r="H175" s="18">
        <f t="shared" si="54"/>
        <v>-24.08499999999998</v>
      </c>
      <c r="I175" s="18"/>
      <c r="J175" s="18"/>
      <c r="K175" s="18"/>
      <c r="L175" s="31"/>
    </row>
    <row r="176" spans="1:12" s="16" customFormat="1">
      <c r="A176" s="11"/>
      <c r="B176" s="20" t="s">
        <v>19</v>
      </c>
      <c r="C176" s="18"/>
      <c r="D176" s="18"/>
      <c r="E176" s="18"/>
      <c r="F176" s="18"/>
      <c r="G176" s="18">
        <f t="shared" si="53"/>
        <v>0</v>
      </c>
      <c r="H176" s="18">
        <f t="shared" si="54"/>
        <v>0</v>
      </c>
      <c r="I176" s="18"/>
      <c r="J176" s="18"/>
      <c r="K176" s="18"/>
      <c r="L176" s="31"/>
    </row>
    <row r="177" spans="1:13" s="16" customFormat="1">
      <c r="A177" s="11" t="s">
        <v>13</v>
      </c>
      <c r="B177" s="20" t="s">
        <v>20</v>
      </c>
      <c r="C177" s="18"/>
      <c r="D177" s="18"/>
      <c r="E177" s="18"/>
      <c r="F177" s="18"/>
      <c r="G177" s="18">
        <f t="shared" si="53"/>
        <v>0</v>
      </c>
      <c r="H177" s="18">
        <f t="shared" si="54"/>
        <v>0</v>
      </c>
      <c r="I177" s="18"/>
      <c r="J177" s="18"/>
      <c r="K177" s="18"/>
      <c r="L177" s="31"/>
    </row>
    <row r="178" spans="1:13" s="16" customFormat="1">
      <c r="A178" s="11" t="s">
        <v>13</v>
      </c>
      <c r="B178" s="20" t="s">
        <v>21</v>
      </c>
      <c r="C178" s="18"/>
      <c r="D178" s="18"/>
      <c r="E178" s="18"/>
      <c r="F178" s="18"/>
      <c r="G178" s="18">
        <f t="shared" si="53"/>
        <v>0</v>
      </c>
      <c r="H178" s="18">
        <f t="shared" si="54"/>
        <v>0</v>
      </c>
      <c r="I178" s="18"/>
      <c r="J178" s="18"/>
      <c r="K178" s="18"/>
      <c r="L178" s="32"/>
    </row>
    <row r="179" spans="1:13" s="16" customFormat="1">
      <c r="A179" s="11" t="s">
        <v>13</v>
      </c>
      <c r="B179" s="20" t="s">
        <v>22</v>
      </c>
      <c r="C179" s="18"/>
      <c r="D179" s="18"/>
      <c r="E179" s="18"/>
      <c r="F179" s="18"/>
      <c r="G179" s="18">
        <f t="shared" si="53"/>
        <v>0</v>
      </c>
      <c r="H179" s="18">
        <f t="shared" si="54"/>
        <v>0</v>
      </c>
      <c r="I179" s="18"/>
      <c r="J179" s="18"/>
      <c r="K179" s="18"/>
      <c r="L179" s="19"/>
    </row>
    <row r="180" spans="1:13" s="16" customFormat="1">
      <c r="A180" s="11" t="s">
        <v>13</v>
      </c>
      <c r="B180" s="17" t="s">
        <v>23</v>
      </c>
      <c r="C180" s="25">
        <f>20</f>
        <v>20</v>
      </c>
      <c r="D180" s="25"/>
      <c r="E180" s="25"/>
      <c r="F180" s="25"/>
      <c r="G180" s="25">
        <f t="shared" si="53"/>
        <v>20</v>
      </c>
      <c r="H180" s="25">
        <f t="shared" si="54"/>
        <v>0</v>
      </c>
      <c r="I180" s="25"/>
      <c r="J180" s="25"/>
      <c r="K180" s="25"/>
      <c r="L180" s="19"/>
    </row>
    <row r="181" spans="1:13" s="16" customFormat="1" ht="26.4">
      <c r="A181" s="11" t="s">
        <v>63</v>
      </c>
      <c r="B181" s="12" t="s">
        <v>64</v>
      </c>
      <c r="C181" s="13">
        <f t="shared" ref="C181:H181" si="55">C184+C191</f>
        <v>2689.06</v>
      </c>
      <c r="D181" s="13">
        <f t="shared" si="55"/>
        <v>0</v>
      </c>
      <c r="E181" s="13">
        <f t="shared" si="55"/>
        <v>0</v>
      </c>
      <c r="F181" s="13">
        <f t="shared" si="55"/>
        <v>374.91499999999996</v>
      </c>
      <c r="G181" s="21">
        <f t="shared" si="55"/>
        <v>2314.145</v>
      </c>
      <c r="H181" s="21">
        <f t="shared" si="55"/>
        <v>-374.91499999999996</v>
      </c>
      <c r="I181" s="21">
        <v>3000</v>
      </c>
      <c r="J181" s="21">
        <v>3000</v>
      </c>
      <c r="K181" s="21">
        <v>3000</v>
      </c>
      <c r="L181" s="19"/>
    </row>
    <row r="182" spans="1:13" s="16" customFormat="1">
      <c r="A182" s="11" t="s">
        <v>13</v>
      </c>
      <c r="B182" s="17" t="s">
        <v>14</v>
      </c>
      <c r="C182" s="18">
        <v>127</v>
      </c>
      <c r="D182" s="18"/>
      <c r="E182" s="18"/>
      <c r="F182" s="18"/>
      <c r="G182" s="18">
        <f>C182+D182-E182-F182</f>
        <v>127</v>
      </c>
      <c r="H182" s="18">
        <f>G182-C182</f>
        <v>0</v>
      </c>
      <c r="I182" s="18">
        <v>127</v>
      </c>
      <c r="J182" s="18">
        <v>127</v>
      </c>
      <c r="K182" s="18">
        <v>127</v>
      </c>
      <c r="L182" s="19"/>
    </row>
    <row r="183" spans="1:13" s="16" customFormat="1">
      <c r="A183" s="11" t="s">
        <v>13</v>
      </c>
      <c r="B183" s="17" t="s">
        <v>15</v>
      </c>
      <c r="C183" s="18">
        <v>23</v>
      </c>
      <c r="D183" s="18">
        <v>1</v>
      </c>
      <c r="E183" s="18"/>
      <c r="F183" s="18"/>
      <c r="G183" s="18">
        <f>C183+D183-E183-F183</f>
        <v>24</v>
      </c>
      <c r="H183" s="18">
        <f>G183-C183</f>
        <v>1</v>
      </c>
      <c r="I183" s="18"/>
      <c r="J183" s="18"/>
      <c r="K183" s="18"/>
      <c r="L183" s="19"/>
    </row>
    <row r="184" spans="1:13" s="16" customFormat="1">
      <c r="A184" s="11" t="s">
        <v>13</v>
      </c>
      <c r="B184" s="17" t="s">
        <v>16</v>
      </c>
      <c r="C184" s="18">
        <f t="shared" ref="C184:K184" si="56">C185+C186+C187+C188+C189+C190</f>
        <v>2689.06</v>
      </c>
      <c r="D184" s="18">
        <f t="shared" si="56"/>
        <v>0</v>
      </c>
      <c r="E184" s="18">
        <f t="shared" si="56"/>
        <v>0</v>
      </c>
      <c r="F184" s="18">
        <f t="shared" si="56"/>
        <v>374.91499999999996</v>
      </c>
      <c r="G184" s="18">
        <f t="shared" si="56"/>
        <v>2314.145</v>
      </c>
      <c r="H184" s="18">
        <f t="shared" si="56"/>
        <v>-374.91499999999996</v>
      </c>
      <c r="I184" s="18">
        <f t="shared" si="56"/>
        <v>0</v>
      </c>
      <c r="J184" s="18">
        <f t="shared" si="56"/>
        <v>0</v>
      </c>
      <c r="K184" s="18">
        <f t="shared" si="56"/>
        <v>0</v>
      </c>
      <c r="L184" s="19"/>
    </row>
    <row r="185" spans="1:13" s="16" customFormat="1">
      <c r="A185" s="11" t="s">
        <v>13</v>
      </c>
      <c r="B185" s="20" t="s">
        <v>17</v>
      </c>
      <c r="C185" s="18">
        <v>2001.96</v>
      </c>
      <c r="D185" s="18"/>
      <c r="E185" s="18"/>
      <c r="F185" s="18">
        <f>159.52+163</f>
        <v>322.52</v>
      </c>
      <c r="G185" s="18">
        <f t="shared" ref="G185:G191" si="57">C185+D185-E185-F185</f>
        <v>1679.44</v>
      </c>
      <c r="H185" s="18">
        <f t="shared" ref="H185:H191" si="58">G185-C185</f>
        <v>-322.52</v>
      </c>
      <c r="I185" s="18"/>
      <c r="J185" s="18"/>
      <c r="K185" s="18"/>
      <c r="L185" s="30" t="s">
        <v>65</v>
      </c>
    </row>
    <row r="186" spans="1:13" s="16" customFormat="1">
      <c r="A186" s="11" t="s">
        <v>13</v>
      </c>
      <c r="B186" s="20" t="s">
        <v>18</v>
      </c>
      <c r="C186" s="18">
        <f>736.1-50</f>
        <v>686.1</v>
      </c>
      <c r="D186" s="18"/>
      <c r="E186" s="18"/>
      <c r="F186" s="18">
        <f>25.85+26.52</f>
        <v>52.370000000000005</v>
      </c>
      <c r="G186" s="18">
        <f t="shared" si="57"/>
        <v>633.73</v>
      </c>
      <c r="H186" s="18">
        <f t="shared" si="58"/>
        <v>-52.370000000000005</v>
      </c>
      <c r="I186" s="18"/>
      <c r="J186" s="18"/>
      <c r="K186" s="18"/>
      <c r="L186" s="31"/>
    </row>
    <row r="187" spans="1:13" s="16" customFormat="1">
      <c r="A187" s="11"/>
      <c r="B187" s="20" t="s">
        <v>19</v>
      </c>
      <c r="C187" s="18"/>
      <c r="D187" s="18"/>
      <c r="E187" s="18"/>
      <c r="F187" s="18"/>
      <c r="G187" s="18">
        <f t="shared" si="57"/>
        <v>0</v>
      </c>
      <c r="H187" s="18">
        <f t="shared" si="58"/>
        <v>0</v>
      </c>
      <c r="I187" s="18"/>
      <c r="J187" s="18"/>
      <c r="K187" s="18"/>
      <c r="L187" s="31"/>
    </row>
    <row r="188" spans="1:13" s="16" customFormat="1">
      <c r="A188" s="11" t="s">
        <v>13</v>
      </c>
      <c r="B188" s="20" t="s">
        <v>20</v>
      </c>
      <c r="C188" s="18"/>
      <c r="D188" s="18"/>
      <c r="E188" s="18"/>
      <c r="F188" s="18"/>
      <c r="G188" s="18">
        <f t="shared" si="57"/>
        <v>0</v>
      </c>
      <c r="H188" s="18">
        <f t="shared" si="58"/>
        <v>0</v>
      </c>
      <c r="I188" s="18"/>
      <c r="J188" s="18"/>
      <c r="K188" s="18"/>
      <c r="L188" s="31"/>
    </row>
    <row r="189" spans="1:13" s="16" customFormat="1">
      <c r="A189" s="11" t="s">
        <v>13</v>
      </c>
      <c r="B189" s="20" t="s">
        <v>21</v>
      </c>
      <c r="C189" s="18"/>
      <c r="D189" s="18"/>
      <c r="E189" s="18"/>
      <c r="F189" s="18"/>
      <c r="G189" s="18">
        <f t="shared" si="57"/>
        <v>0</v>
      </c>
      <c r="H189" s="18">
        <f t="shared" si="58"/>
        <v>0</v>
      </c>
      <c r="I189" s="18"/>
      <c r="J189" s="18"/>
      <c r="K189" s="18"/>
      <c r="L189" s="32"/>
    </row>
    <row r="190" spans="1:13" s="16" customFormat="1">
      <c r="A190" s="11" t="s">
        <v>13</v>
      </c>
      <c r="B190" s="20" t="s">
        <v>22</v>
      </c>
      <c r="C190" s="18">
        <v>1</v>
      </c>
      <c r="D190" s="18"/>
      <c r="E190" s="18"/>
      <c r="F190" s="18">
        <v>2.5000000000000001E-2</v>
      </c>
      <c r="G190" s="18">
        <f t="shared" si="57"/>
        <v>0.97499999999999998</v>
      </c>
      <c r="H190" s="18">
        <f t="shared" si="58"/>
        <v>-2.5000000000000022E-2</v>
      </c>
      <c r="I190" s="18"/>
      <c r="J190" s="18"/>
      <c r="K190" s="18"/>
      <c r="L190" s="19"/>
    </row>
    <row r="191" spans="1:13" s="16" customFormat="1">
      <c r="A191" s="11" t="s">
        <v>13</v>
      </c>
      <c r="B191" s="17" t="s">
        <v>23</v>
      </c>
      <c r="C191" s="18"/>
      <c r="D191" s="18"/>
      <c r="E191" s="18"/>
      <c r="F191" s="18"/>
      <c r="G191" s="18">
        <f t="shared" si="57"/>
        <v>0</v>
      </c>
      <c r="H191" s="18">
        <f t="shared" si="58"/>
        <v>0</v>
      </c>
      <c r="I191" s="18"/>
      <c r="J191" s="18"/>
      <c r="K191" s="18"/>
      <c r="L191" s="19"/>
    </row>
    <row r="192" spans="1:13" s="16" customFormat="1">
      <c r="A192" s="11" t="s">
        <v>66</v>
      </c>
      <c r="B192" s="12" t="s">
        <v>67</v>
      </c>
      <c r="C192" s="13">
        <f t="shared" ref="C192:H192" si="59">C195+C202</f>
        <v>7140.22</v>
      </c>
      <c r="D192" s="13">
        <f t="shared" si="59"/>
        <v>9.5</v>
      </c>
      <c r="E192" s="13">
        <f t="shared" si="59"/>
        <v>0</v>
      </c>
      <c r="F192" s="13">
        <f t="shared" si="59"/>
        <v>891.38000000000011</v>
      </c>
      <c r="G192" s="21">
        <f t="shared" si="59"/>
        <v>6258.34</v>
      </c>
      <c r="H192" s="21">
        <f t="shared" si="59"/>
        <v>-881.87999999999977</v>
      </c>
      <c r="I192" s="21">
        <v>8500</v>
      </c>
      <c r="J192" s="21">
        <v>8500</v>
      </c>
      <c r="K192" s="21">
        <v>8500</v>
      </c>
      <c r="L192" s="19"/>
      <c r="M192" s="15"/>
    </row>
    <row r="193" spans="1:13" s="16" customFormat="1">
      <c r="A193" s="11" t="s">
        <v>13</v>
      </c>
      <c r="B193" s="17" t="s">
        <v>14</v>
      </c>
      <c r="C193" s="18">
        <v>331</v>
      </c>
      <c r="D193" s="18"/>
      <c r="E193" s="18"/>
      <c r="F193" s="18"/>
      <c r="G193" s="18">
        <f>C193+D193-E193-F193</f>
        <v>331</v>
      </c>
      <c r="H193" s="18">
        <f>G193-C193</f>
        <v>0</v>
      </c>
      <c r="I193" s="18">
        <v>327</v>
      </c>
      <c r="J193" s="18">
        <v>327</v>
      </c>
      <c r="K193" s="18">
        <v>327</v>
      </c>
      <c r="L193" s="19"/>
      <c r="M193" s="26"/>
    </row>
    <row r="194" spans="1:13" s="16" customFormat="1">
      <c r="A194" s="11" t="s">
        <v>13</v>
      </c>
      <c r="B194" s="17" t="s">
        <v>15</v>
      </c>
      <c r="C194" s="18">
        <v>22</v>
      </c>
      <c r="D194" s="18">
        <v>3</v>
      </c>
      <c r="E194" s="18"/>
      <c r="F194" s="18"/>
      <c r="G194" s="18">
        <f>C194+D194-E194-F194</f>
        <v>25</v>
      </c>
      <c r="H194" s="18">
        <f>G194-C194</f>
        <v>3</v>
      </c>
      <c r="I194" s="18"/>
      <c r="J194" s="18"/>
      <c r="K194" s="18"/>
      <c r="L194" s="19"/>
    </row>
    <row r="195" spans="1:13" s="16" customFormat="1">
      <c r="A195" s="11" t="s">
        <v>13</v>
      </c>
      <c r="B195" s="17" t="s">
        <v>16</v>
      </c>
      <c r="C195" s="18">
        <f t="shared" ref="C195:K195" si="60">C196+C197+C198+C199+C200+C201</f>
        <v>6440.22</v>
      </c>
      <c r="D195" s="18">
        <f t="shared" si="60"/>
        <v>9.5</v>
      </c>
      <c r="E195" s="18">
        <f t="shared" si="60"/>
        <v>0</v>
      </c>
      <c r="F195" s="18">
        <f t="shared" si="60"/>
        <v>877.5100000000001</v>
      </c>
      <c r="G195" s="18">
        <f t="shared" si="60"/>
        <v>5572.21</v>
      </c>
      <c r="H195" s="18">
        <f t="shared" si="60"/>
        <v>-868.00999999999976</v>
      </c>
      <c r="I195" s="18">
        <f t="shared" si="60"/>
        <v>0</v>
      </c>
      <c r="J195" s="18">
        <f t="shared" si="60"/>
        <v>0</v>
      </c>
      <c r="K195" s="18">
        <f t="shared" si="60"/>
        <v>0</v>
      </c>
      <c r="L195" s="19"/>
    </row>
    <row r="196" spans="1:13" s="16" customFormat="1">
      <c r="A196" s="11" t="s">
        <v>13</v>
      </c>
      <c r="B196" s="20" t="s">
        <v>17</v>
      </c>
      <c r="C196" s="18">
        <v>4702.92</v>
      </c>
      <c r="D196" s="18"/>
      <c r="E196" s="18"/>
      <c r="F196" s="18">
        <f>409.565+372.653</f>
        <v>782.21800000000007</v>
      </c>
      <c r="G196" s="18">
        <f t="shared" ref="G196:G202" si="61">C196+D196-E196-F196</f>
        <v>3920.7020000000002</v>
      </c>
      <c r="H196" s="18">
        <f t="shared" ref="H196:H202" si="62">G196-C196</f>
        <v>-782.21799999999985</v>
      </c>
      <c r="I196" s="18"/>
      <c r="J196" s="18"/>
      <c r="K196" s="18"/>
      <c r="L196" s="30" t="s">
        <v>68</v>
      </c>
    </row>
    <row r="197" spans="1:13" s="16" customFormat="1">
      <c r="A197" s="11" t="s">
        <v>13</v>
      </c>
      <c r="B197" s="20" t="s">
        <v>18</v>
      </c>
      <c r="C197" s="18">
        <v>1732.3</v>
      </c>
      <c r="D197" s="18">
        <v>9.5</v>
      </c>
      <c r="E197" s="18"/>
      <c r="F197" s="18">
        <f>52.805+42.49+1-1.003</f>
        <v>95.292000000000002</v>
      </c>
      <c r="G197" s="18">
        <f t="shared" si="61"/>
        <v>1646.508</v>
      </c>
      <c r="H197" s="18">
        <f t="shared" si="62"/>
        <v>-85.791999999999916</v>
      </c>
      <c r="I197" s="18"/>
      <c r="J197" s="18"/>
      <c r="K197" s="18"/>
      <c r="L197" s="31"/>
      <c r="M197" s="27"/>
    </row>
    <row r="198" spans="1:13" s="16" customFormat="1">
      <c r="A198" s="11"/>
      <c r="B198" s="20" t="s">
        <v>19</v>
      </c>
      <c r="C198" s="18"/>
      <c r="D198" s="18"/>
      <c r="E198" s="18"/>
      <c r="F198" s="18"/>
      <c r="G198" s="18">
        <f t="shared" si="61"/>
        <v>0</v>
      </c>
      <c r="H198" s="18">
        <f t="shared" si="62"/>
        <v>0</v>
      </c>
      <c r="I198" s="18"/>
      <c r="J198" s="18"/>
      <c r="K198" s="18"/>
      <c r="L198" s="31"/>
    </row>
    <row r="199" spans="1:13" s="16" customFormat="1">
      <c r="A199" s="11" t="s">
        <v>13</v>
      </c>
      <c r="B199" s="20" t="s">
        <v>20</v>
      </c>
      <c r="C199" s="18"/>
      <c r="D199" s="18"/>
      <c r="E199" s="18"/>
      <c r="F199" s="18"/>
      <c r="G199" s="18">
        <f t="shared" si="61"/>
        <v>0</v>
      </c>
      <c r="H199" s="18">
        <f t="shared" si="62"/>
        <v>0</v>
      </c>
      <c r="I199" s="18"/>
      <c r="J199" s="18"/>
      <c r="K199" s="18"/>
      <c r="L199" s="31"/>
      <c r="M199" s="26"/>
    </row>
    <row r="200" spans="1:13" s="16" customFormat="1">
      <c r="A200" s="11" t="s">
        <v>13</v>
      </c>
      <c r="B200" s="20" t="s">
        <v>21</v>
      </c>
      <c r="C200" s="18"/>
      <c r="D200" s="18"/>
      <c r="E200" s="18"/>
      <c r="F200" s="18"/>
      <c r="G200" s="18">
        <f t="shared" si="61"/>
        <v>0</v>
      </c>
      <c r="H200" s="18">
        <f t="shared" si="62"/>
        <v>0</v>
      </c>
      <c r="I200" s="18"/>
      <c r="J200" s="18"/>
      <c r="K200" s="18"/>
      <c r="L200" s="32"/>
    </row>
    <row r="201" spans="1:13" s="16" customFormat="1">
      <c r="A201" s="11" t="s">
        <v>13</v>
      </c>
      <c r="B201" s="20" t="s">
        <v>22</v>
      </c>
      <c r="C201" s="18">
        <v>5</v>
      </c>
      <c r="D201" s="18"/>
      <c r="E201" s="18"/>
      <c r="F201" s="18"/>
      <c r="G201" s="18">
        <f t="shared" si="61"/>
        <v>5</v>
      </c>
      <c r="H201" s="18">
        <f t="shared" si="62"/>
        <v>0</v>
      </c>
      <c r="I201" s="18"/>
      <c r="J201" s="18"/>
      <c r="K201" s="18"/>
      <c r="L201" s="19"/>
    </row>
    <row r="202" spans="1:13" s="16" customFormat="1">
      <c r="A202" s="11" t="s">
        <v>13</v>
      </c>
      <c r="B202" s="17" t="s">
        <v>23</v>
      </c>
      <c r="C202" s="18">
        <v>700</v>
      </c>
      <c r="D202" s="18"/>
      <c r="E202" s="18"/>
      <c r="F202" s="18">
        <v>13.87</v>
      </c>
      <c r="G202" s="18">
        <f t="shared" si="61"/>
        <v>686.13</v>
      </c>
      <c r="H202" s="18">
        <f t="shared" si="62"/>
        <v>-13.870000000000005</v>
      </c>
      <c r="I202" s="18"/>
      <c r="J202" s="18"/>
      <c r="K202" s="18"/>
      <c r="L202" s="19"/>
    </row>
    <row r="203" spans="1:13" s="16" customFormat="1" ht="26.4">
      <c r="A203" s="11" t="s">
        <v>69</v>
      </c>
      <c r="B203" s="12" t="s">
        <v>70</v>
      </c>
      <c r="C203" s="13">
        <f t="shared" ref="C203:H203" si="63">C206+C213</f>
        <v>3987.46</v>
      </c>
      <c r="D203" s="13">
        <f t="shared" si="63"/>
        <v>0</v>
      </c>
      <c r="E203" s="13">
        <f t="shared" si="63"/>
        <v>0</v>
      </c>
      <c r="F203" s="13">
        <f t="shared" si="63"/>
        <v>528.38499999999999</v>
      </c>
      <c r="G203" s="21">
        <f t="shared" si="63"/>
        <v>3459.0749999999998</v>
      </c>
      <c r="H203" s="21">
        <f t="shared" si="63"/>
        <v>-528.38500000000022</v>
      </c>
      <c r="I203" s="21">
        <v>4500</v>
      </c>
      <c r="J203" s="21">
        <v>4500</v>
      </c>
      <c r="K203" s="21">
        <v>4500</v>
      </c>
      <c r="L203" s="19"/>
    </row>
    <row r="204" spans="1:13" s="16" customFormat="1">
      <c r="A204" s="11" t="s">
        <v>13</v>
      </c>
      <c r="B204" s="17" t="s">
        <v>14</v>
      </c>
      <c r="C204" s="18">
        <v>156</v>
      </c>
      <c r="D204" s="18"/>
      <c r="E204" s="18"/>
      <c r="F204" s="18"/>
      <c r="G204" s="18">
        <f>C204+D204-E204-F204</f>
        <v>156</v>
      </c>
      <c r="H204" s="18">
        <f>G204-C204</f>
        <v>0</v>
      </c>
      <c r="I204" s="18">
        <v>156</v>
      </c>
      <c r="J204" s="18">
        <v>156</v>
      </c>
      <c r="K204" s="18">
        <v>156</v>
      </c>
      <c r="L204" s="19"/>
    </row>
    <row r="205" spans="1:13" s="16" customFormat="1">
      <c r="A205" s="11" t="s">
        <v>13</v>
      </c>
      <c r="B205" s="17" t="s">
        <v>15</v>
      </c>
      <c r="C205" s="18">
        <v>14</v>
      </c>
      <c r="D205" s="18">
        <v>1</v>
      </c>
      <c r="E205" s="18"/>
      <c r="F205" s="18"/>
      <c r="G205" s="18">
        <f>C205+D205-E205-F205</f>
        <v>15</v>
      </c>
      <c r="H205" s="18">
        <f>G205-C205</f>
        <v>1</v>
      </c>
      <c r="I205" s="18"/>
      <c r="J205" s="18"/>
      <c r="K205" s="18"/>
      <c r="L205" s="19"/>
    </row>
    <row r="206" spans="1:13" s="16" customFormat="1">
      <c r="A206" s="11" t="s">
        <v>13</v>
      </c>
      <c r="B206" s="17" t="s">
        <v>16</v>
      </c>
      <c r="C206" s="18">
        <f t="shared" ref="C206:K206" si="64">C207+C208+C209+C210+C211+C212</f>
        <v>3987.46</v>
      </c>
      <c r="D206" s="18">
        <f t="shared" si="64"/>
        <v>0</v>
      </c>
      <c r="E206" s="18">
        <f t="shared" si="64"/>
        <v>0</v>
      </c>
      <c r="F206" s="18">
        <f t="shared" si="64"/>
        <v>528.38499999999999</v>
      </c>
      <c r="G206" s="18">
        <f t="shared" si="64"/>
        <v>3459.0749999999998</v>
      </c>
      <c r="H206" s="18">
        <f t="shared" si="64"/>
        <v>-528.38500000000022</v>
      </c>
      <c r="I206" s="18">
        <f t="shared" si="64"/>
        <v>0</v>
      </c>
      <c r="J206" s="18">
        <f t="shared" si="64"/>
        <v>0</v>
      </c>
      <c r="K206" s="18">
        <f t="shared" si="64"/>
        <v>0</v>
      </c>
      <c r="L206" s="19"/>
    </row>
    <row r="207" spans="1:13" s="16" customFormat="1">
      <c r="A207" s="11" t="s">
        <v>13</v>
      </c>
      <c r="B207" s="20" t="s">
        <v>17</v>
      </c>
      <c r="C207" s="18">
        <v>2726.46</v>
      </c>
      <c r="D207" s="18"/>
      <c r="E207" s="18"/>
      <c r="F207" s="18">
        <f>228.688+231</f>
        <v>459.68799999999999</v>
      </c>
      <c r="G207" s="18">
        <f t="shared" ref="G207:G213" si="65">C207+D207-E207-F207</f>
        <v>2266.7719999999999</v>
      </c>
      <c r="H207" s="18">
        <f t="shared" ref="H207:H213" si="66">G207-C207</f>
        <v>-459.6880000000001</v>
      </c>
      <c r="I207" s="18"/>
      <c r="J207" s="18"/>
      <c r="K207" s="18"/>
      <c r="L207" s="30" t="s">
        <v>71</v>
      </c>
    </row>
    <row r="208" spans="1:13" s="16" customFormat="1">
      <c r="A208" s="11" t="s">
        <v>13</v>
      </c>
      <c r="B208" s="20" t="s">
        <v>18</v>
      </c>
      <c r="C208" s="18">
        <v>1261</v>
      </c>
      <c r="D208" s="18"/>
      <c r="E208" s="18"/>
      <c r="F208" s="18">
        <f>68.87-0.173</f>
        <v>68.697000000000003</v>
      </c>
      <c r="G208" s="18">
        <f t="shared" si="65"/>
        <v>1192.3029999999999</v>
      </c>
      <c r="H208" s="18">
        <f t="shared" si="66"/>
        <v>-68.697000000000116</v>
      </c>
      <c r="I208" s="18"/>
      <c r="J208" s="18"/>
      <c r="K208" s="18"/>
      <c r="L208" s="31"/>
      <c r="M208" s="26"/>
    </row>
    <row r="209" spans="1:13" s="16" customFormat="1">
      <c r="A209" s="11"/>
      <c r="B209" s="20" t="s">
        <v>19</v>
      </c>
      <c r="C209" s="18"/>
      <c r="D209" s="18"/>
      <c r="E209" s="18"/>
      <c r="F209" s="18"/>
      <c r="G209" s="18">
        <f t="shared" si="65"/>
        <v>0</v>
      </c>
      <c r="H209" s="18">
        <f t="shared" si="66"/>
        <v>0</v>
      </c>
      <c r="I209" s="18"/>
      <c r="J209" s="18"/>
      <c r="K209" s="18"/>
      <c r="L209" s="31"/>
    </row>
    <row r="210" spans="1:13" s="16" customFormat="1">
      <c r="A210" s="11" t="s">
        <v>13</v>
      </c>
      <c r="B210" s="20" t="s">
        <v>20</v>
      </c>
      <c r="C210" s="18"/>
      <c r="D210" s="18"/>
      <c r="E210" s="18"/>
      <c r="F210" s="18"/>
      <c r="G210" s="18">
        <f t="shared" si="65"/>
        <v>0</v>
      </c>
      <c r="H210" s="18">
        <f t="shared" si="66"/>
        <v>0</v>
      </c>
      <c r="I210" s="18"/>
      <c r="J210" s="18"/>
      <c r="K210" s="18"/>
      <c r="L210" s="31"/>
    </row>
    <row r="211" spans="1:13" s="16" customFormat="1">
      <c r="A211" s="11" t="s">
        <v>13</v>
      </c>
      <c r="B211" s="20" t="s">
        <v>21</v>
      </c>
      <c r="C211" s="18"/>
      <c r="D211" s="18"/>
      <c r="E211" s="18"/>
      <c r="F211" s="18"/>
      <c r="G211" s="18">
        <f t="shared" si="65"/>
        <v>0</v>
      </c>
      <c r="H211" s="18">
        <f t="shared" si="66"/>
        <v>0</v>
      </c>
      <c r="I211" s="18"/>
      <c r="J211" s="18"/>
      <c r="K211" s="18"/>
      <c r="L211" s="32"/>
    </row>
    <row r="212" spans="1:13" s="16" customFormat="1">
      <c r="A212" s="11" t="s">
        <v>13</v>
      </c>
      <c r="B212" s="20" t="s">
        <v>22</v>
      </c>
      <c r="C212" s="18"/>
      <c r="D212" s="18"/>
      <c r="E212" s="18"/>
      <c r="F212" s="18"/>
      <c r="G212" s="18">
        <f t="shared" si="65"/>
        <v>0</v>
      </c>
      <c r="H212" s="18">
        <f t="shared" si="66"/>
        <v>0</v>
      </c>
      <c r="I212" s="18"/>
      <c r="J212" s="18"/>
      <c r="K212" s="18"/>
      <c r="L212" s="19"/>
    </row>
    <row r="213" spans="1:13" s="16" customFormat="1">
      <c r="A213" s="11" t="s">
        <v>13</v>
      </c>
      <c r="B213" s="17" t="s">
        <v>23</v>
      </c>
      <c r="C213" s="18"/>
      <c r="D213" s="18"/>
      <c r="E213" s="18"/>
      <c r="F213" s="18"/>
      <c r="G213" s="18">
        <f t="shared" si="65"/>
        <v>0</v>
      </c>
      <c r="H213" s="18">
        <f t="shared" si="66"/>
        <v>0</v>
      </c>
      <c r="I213" s="18"/>
      <c r="J213" s="18"/>
      <c r="K213" s="18"/>
      <c r="L213" s="19"/>
    </row>
    <row r="214" spans="1:13" s="16" customFormat="1">
      <c r="A214" s="11" t="s">
        <v>72</v>
      </c>
      <c r="B214" s="12" t="s">
        <v>73</v>
      </c>
      <c r="C214" s="13">
        <f>C217+C224</f>
        <v>1362.94</v>
      </c>
      <c r="D214" s="13">
        <f t="shared" ref="D214:H214" si="67">D217+D224</f>
        <v>0</v>
      </c>
      <c r="E214" s="13">
        <f t="shared" si="67"/>
        <v>0</v>
      </c>
      <c r="F214" s="13">
        <f t="shared" si="67"/>
        <v>135.49</v>
      </c>
      <c r="G214" s="21">
        <f t="shared" si="67"/>
        <v>1227.45</v>
      </c>
      <c r="H214" s="21">
        <f t="shared" si="67"/>
        <v>-135.4899999999999</v>
      </c>
      <c r="I214" s="21">
        <v>1600</v>
      </c>
      <c r="J214" s="21">
        <v>1600</v>
      </c>
      <c r="K214" s="21">
        <v>1600</v>
      </c>
      <c r="L214" s="19"/>
    </row>
    <row r="215" spans="1:13" s="16" customFormat="1">
      <c r="A215" s="11" t="s">
        <v>13</v>
      </c>
      <c r="B215" s="17" t="s">
        <v>14</v>
      </c>
      <c r="C215" s="18">
        <v>30</v>
      </c>
      <c r="D215" s="18"/>
      <c r="E215" s="18"/>
      <c r="F215" s="18"/>
      <c r="G215" s="18">
        <f>C215+D215-E215-F215</f>
        <v>30</v>
      </c>
      <c r="H215" s="18">
        <f>G215-C215</f>
        <v>0</v>
      </c>
      <c r="I215" s="18">
        <v>30</v>
      </c>
      <c r="J215" s="18">
        <v>30</v>
      </c>
      <c r="K215" s="18">
        <v>30</v>
      </c>
      <c r="L215" s="19"/>
    </row>
    <row r="216" spans="1:13" s="16" customFormat="1">
      <c r="A216" s="11" t="s">
        <v>13</v>
      </c>
      <c r="B216" s="17" t="s">
        <v>15</v>
      </c>
      <c r="C216" s="18">
        <v>4</v>
      </c>
      <c r="D216" s="18">
        <v>1</v>
      </c>
      <c r="E216" s="18"/>
      <c r="F216" s="18"/>
      <c r="G216" s="18">
        <f>C216+D216-E216-F216</f>
        <v>5</v>
      </c>
      <c r="H216" s="18">
        <f>G216-C216</f>
        <v>1</v>
      </c>
      <c r="I216" s="18"/>
      <c r="J216" s="18"/>
      <c r="K216" s="18"/>
      <c r="L216" s="19"/>
    </row>
    <row r="217" spans="1:13" s="16" customFormat="1">
      <c r="A217" s="11" t="s">
        <v>13</v>
      </c>
      <c r="B217" s="17" t="s">
        <v>16</v>
      </c>
      <c r="C217" s="18">
        <f>C218+C219+C220+C221+C222+C223</f>
        <v>1362.94</v>
      </c>
      <c r="D217" s="18">
        <f t="shared" ref="D217:K217" si="68">D218+D219+D220+D221+D222+D223</f>
        <v>0</v>
      </c>
      <c r="E217" s="18">
        <f t="shared" si="68"/>
        <v>0</v>
      </c>
      <c r="F217" s="18">
        <f t="shared" si="68"/>
        <v>135.49</v>
      </c>
      <c r="G217" s="18">
        <f t="shared" si="68"/>
        <v>1227.45</v>
      </c>
      <c r="H217" s="18">
        <f t="shared" si="68"/>
        <v>-135.4899999999999</v>
      </c>
      <c r="I217" s="18">
        <f t="shared" si="68"/>
        <v>0</v>
      </c>
      <c r="J217" s="18">
        <f t="shared" si="68"/>
        <v>0</v>
      </c>
      <c r="K217" s="18">
        <f t="shared" si="68"/>
        <v>0</v>
      </c>
      <c r="L217" s="19"/>
    </row>
    <row r="218" spans="1:13" s="16" customFormat="1">
      <c r="A218" s="11" t="s">
        <v>13</v>
      </c>
      <c r="B218" s="20" t="s">
        <v>17</v>
      </c>
      <c r="C218" s="18">
        <v>722.64</v>
      </c>
      <c r="D218" s="18"/>
      <c r="E218" s="18"/>
      <c r="F218" s="18">
        <v>120.44</v>
      </c>
      <c r="G218" s="18">
        <f t="shared" ref="G218:G224" si="69">C218+D218-E218-F218</f>
        <v>602.20000000000005</v>
      </c>
      <c r="H218" s="18">
        <f t="shared" ref="H218:H224" si="70">G218-C218</f>
        <v>-120.43999999999994</v>
      </c>
      <c r="I218" s="18"/>
      <c r="J218" s="18"/>
      <c r="K218" s="18"/>
      <c r="L218" s="30" t="s">
        <v>74</v>
      </c>
    </row>
    <row r="219" spans="1:13" s="16" customFormat="1">
      <c r="A219" s="11" t="s">
        <v>13</v>
      </c>
      <c r="B219" s="20" t="s">
        <v>18</v>
      </c>
      <c r="C219" s="18">
        <v>636.29999999999995</v>
      </c>
      <c r="D219" s="18"/>
      <c r="E219" s="18"/>
      <c r="F219" s="18">
        <f>15.05</f>
        <v>15.05</v>
      </c>
      <c r="G219" s="18">
        <f t="shared" si="69"/>
        <v>621.25</v>
      </c>
      <c r="H219" s="18">
        <f t="shared" si="70"/>
        <v>-15.049999999999955</v>
      </c>
      <c r="I219" s="18"/>
      <c r="J219" s="18"/>
      <c r="K219" s="18"/>
      <c r="L219" s="31"/>
      <c r="M219" s="15"/>
    </row>
    <row r="220" spans="1:13" s="16" customFormat="1">
      <c r="A220" s="11"/>
      <c r="B220" s="20" t="s">
        <v>19</v>
      </c>
      <c r="C220" s="18"/>
      <c r="D220" s="18"/>
      <c r="E220" s="18"/>
      <c r="F220" s="18"/>
      <c r="G220" s="18">
        <f t="shared" si="69"/>
        <v>0</v>
      </c>
      <c r="H220" s="18">
        <f t="shared" si="70"/>
        <v>0</v>
      </c>
      <c r="I220" s="18"/>
      <c r="J220" s="18"/>
      <c r="K220" s="18"/>
      <c r="L220" s="31"/>
    </row>
    <row r="221" spans="1:13" s="16" customFormat="1">
      <c r="A221" s="11" t="s">
        <v>13</v>
      </c>
      <c r="B221" s="20" t="s">
        <v>20</v>
      </c>
      <c r="C221" s="18"/>
      <c r="D221" s="18"/>
      <c r="E221" s="18"/>
      <c r="F221" s="18"/>
      <c r="G221" s="18">
        <f t="shared" si="69"/>
        <v>0</v>
      </c>
      <c r="H221" s="18">
        <f t="shared" si="70"/>
        <v>0</v>
      </c>
      <c r="I221" s="18"/>
      <c r="J221" s="18"/>
      <c r="K221" s="18"/>
      <c r="L221" s="31"/>
    </row>
    <row r="222" spans="1:13" s="16" customFormat="1">
      <c r="A222" s="11" t="s">
        <v>13</v>
      </c>
      <c r="B222" s="20" t="s">
        <v>21</v>
      </c>
      <c r="C222" s="18"/>
      <c r="D222" s="18"/>
      <c r="E222" s="18"/>
      <c r="F222" s="18"/>
      <c r="G222" s="18">
        <f t="shared" si="69"/>
        <v>0</v>
      </c>
      <c r="H222" s="18">
        <f t="shared" si="70"/>
        <v>0</v>
      </c>
      <c r="I222" s="18"/>
      <c r="J222" s="18"/>
      <c r="K222" s="18"/>
      <c r="L222" s="32"/>
    </row>
    <row r="223" spans="1:13" s="16" customFormat="1">
      <c r="A223" s="11" t="s">
        <v>13</v>
      </c>
      <c r="B223" s="20" t="s">
        <v>22</v>
      </c>
      <c r="C223" s="18">
        <v>4</v>
      </c>
      <c r="D223" s="18"/>
      <c r="E223" s="18"/>
      <c r="F223" s="18"/>
      <c r="G223" s="18">
        <f t="shared" si="69"/>
        <v>4</v>
      </c>
      <c r="H223" s="18">
        <f t="shared" si="70"/>
        <v>0</v>
      </c>
      <c r="I223" s="18"/>
      <c r="J223" s="18"/>
      <c r="K223" s="18"/>
      <c r="L223" s="19"/>
      <c r="M223" s="15"/>
    </row>
    <row r="224" spans="1:13" s="16" customFormat="1">
      <c r="A224" s="11" t="s">
        <v>13</v>
      </c>
      <c r="B224" s="17" t="s">
        <v>23</v>
      </c>
      <c r="C224" s="18"/>
      <c r="D224" s="18"/>
      <c r="E224" s="18"/>
      <c r="F224" s="18"/>
      <c r="G224" s="18">
        <f t="shared" si="69"/>
        <v>0</v>
      </c>
      <c r="H224" s="18">
        <f t="shared" si="70"/>
        <v>0</v>
      </c>
      <c r="I224" s="18"/>
      <c r="J224" s="18"/>
      <c r="K224" s="18"/>
      <c r="L224" s="19"/>
    </row>
    <row r="225" spans="1:13" s="16" customFormat="1">
      <c r="A225" s="11" t="s">
        <v>75</v>
      </c>
      <c r="B225" s="12" t="s">
        <v>76</v>
      </c>
      <c r="C225" s="13">
        <f t="shared" ref="C225:H225" si="71">C228+C235</f>
        <v>1254.78</v>
      </c>
      <c r="D225" s="13">
        <f t="shared" si="71"/>
        <v>0</v>
      </c>
      <c r="E225" s="13">
        <f t="shared" si="71"/>
        <v>0</v>
      </c>
      <c r="F225" s="13">
        <f t="shared" si="71"/>
        <v>151.255</v>
      </c>
      <c r="G225" s="21">
        <f t="shared" si="71"/>
        <v>1103.5250000000001</v>
      </c>
      <c r="H225" s="21">
        <f t="shared" si="71"/>
        <v>-151.25499999999994</v>
      </c>
      <c r="I225" s="21">
        <v>1500</v>
      </c>
      <c r="J225" s="21">
        <v>1500</v>
      </c>
      <c r="K225" s="21">
        <v>1500</v>
      </c>
      <c r="L225" s="19"/>
    </row>
    <row r="226" spans="1:13" s="16" customFormat="1">
      <c r="A226" s="11" t="s">
        <v>13</v>
      </c>
      <c r="B226" s="17" t="s">
        <v>14</v>
      </c>
      <c r="C226" s="18">
        <v>73</v>
      </c>
      <c r="D226" s="18"/>
      <c r="E226" s="18"/>
      <c r="F226" s="18"/>
      <c r="G226" s="18">
        <f>C226+D226-E226-F226</f>
        <v>73</v>
      </c>
      <c r="H226" s="18">
        <f>G226-C226</f>
        <v>0</v>
      </c>
      <c r="I226" s="18">
        <v>73</v>
      </c>
      <c r="J226" s="18">
        <v>73</v>
      </c>
      <c r="K226" s="18">
        <v>73</v>
      </c>
      <c r="L226" s="19"/>
    </row>
    <row r="227" spans="1:13" s="16" customFormat="1">
      <c r="A227" s="11" t="s">
        <v>13</v>
      </c>
      <c r="B227" s="17" t="s">
        <v>15</v>
      </c>
      <c r="C227" s="18">
        <v>1</v>
      </c>
      <c r="D227" s="18">
        <v>1</v>
      </c>
      <c r="E227" s="18"/>
      <c r="F227" s="18"/>
      <c r="G227" s="18">
        <f>C227+D227-E227-F227</f>
        <v>2</v>
      </c>
      <c r="H227" s="18">
        <f>G227-C227</f>
        <v>1</v>
      </c>
      <c r="I227" s="18"/>
      <c r="J227" s="18"/>
      <c r="K227" s="18"/>
      <c r="L227" s="19"/>
      <c r="M227" s="28"/>
    </row>
    <row r="228" spans="1:13" s="16" customFormat="1">
      <c r="A228" s="11" t="s">
        <v>13</v>
      </c>
      <c r="B228" s="17" t="s">
        <v>16</v>
      </c>
      <c r="C228" s="18">
        <f t="shared" ref="C228:K228" si="72">C229+C230+C231+C232+C233+C234</f>
        <v>1254.78</v>
      </c>
      <c r="D228" s="18">
        <f t="shared" si="72"/>
        <v>0</v>
      </c>
      <c r="E228" s="18">
        <f t="shared" si="72"/>
        <v>0</v>
      </c>
      <c r="F228" s="18">
        <f t="shared" si="72"/>
        <v>151.255</v>
      </c>
      <c r="G228" s="18">
        <f t="shared" si="72"/>
        <v>1103.5250000000001</v>
      </c>
      <c r="H228" s="18">
        <f t="shared" si="72"/>
        <v>-151.25499999999994</v>
      </c>
      <c r="I228" s="18">
        <f t="shared" si="72"/>
        <v>0</v>
      </c>
      <c r="J228" s="18">
        <f t="shared" si="72"/>
        <v>0</v>
      </c>
      <c r="K228" s="18">
        <f t="shared" si="72"/>
        <v>0</v>
      </c>
      <c r="L228" s="19"/>
    </row>
    <row r="229" spans="1:13" s="16" customFormat="1">
      <c r="A229" s="11" t="s">
        <v>13</v>
      </c>
      <c r="B229" s="20" t="s">
        <v>17</v>
      </c>
      <c r="C229" s="18">
        <v>1019.28</v>
      </c>
      <c r="D229" s="18"/>
      <c r="E229" s="18"/>
      <c r="F229" s="18">
        <f>74.078+74.078</f>
        <v>148.15600000000001</v>
      </c>
      <c r="G229" s="18">
        <f t="shared" ref="G229:G235" si="73">C229+D229-E229-F229</f>
        <v>871.12400000000002</v>
      </c>
      <c r="H229" s="18">
        <f t="shared" ref="H229:H235" si="74">G229-C229</f>
        <v>-148.15599999999995</v>
      </c>
      <c r="I229" s="18"/>
      <c r="J229" s="18"/>
      <c r="K229" s="18"/>
      <c r="L229" s="30" t="s">
        <v>77</v>
      </c>
    </row>
    <row r="230" spans="1:13" s="16" customFormat="1">
      <c r="A230" s="11" t="s">
        <v>13</v>
      </c>
      <c r="B230" s="20" t="s">
        <v>18</v>
      </c>
      <c r="C230" s="18">
        <v>234.5</v>
      </c>
      <c r="D230" s="18"/>
      <c r="E230" s="18"/>
      <c r="F230" s="18">
        <f>1.515+1.584</f>
        <v>3.0990000000000002</v>
      </c>
      <c r="G230" s="18">
        <f t="shared" si="73"/>
        <v>231.40100000000001</v>
      </c>
      <c r="H230" s="18">
        <f t="shared" si="74"/>
        <v>-3.0989999999999895</v>
      </c>
      <c r="I230" s="18"/>
      <c r="J230" s="18"/>
      <c r="K230" s="18"/>
      <c r="L230" s="31"/>
    </row>
    <row r="231" spans="1:13" s="16" customFormat="1">
      <c r="A231" s="11"/>
      <c r="B231" s="20" t="s">
        <v>19</v>
      </c>
      <c r="C231" s="18"/>
      <c r="D231" s="18"/>
      <c r="E231" s="18"/>
      <c r="F231" s="18"/>
      <c r="G231" s="18">
        <f t="shared" si="73"/>
        <v>0</v>
      </c>
      <c r="H231" s="18">
        <f t="shared" si="74"/>
        <v>0</v>
      </c>
      <c r="I231" s="18"/>
      <c r="J231" s="18"/>
      <c r="K231" s="18"/>
      <c r="L231" s="31"/>
    </row>
    <row r="232" spans="1:13" s="16" customFormat="1">
      <c r="A232" s="11" t="s">
        <v>13</v>
      </c>
      <c r="B232" s="20" t="s">
        <v>20</v>
      </c>
      <c r="C232" s="18"/>
      <c r="D232" s="18"/>
      <c r="E232" s="18"/>
      <c r="F232" s="18"/>
      <c r="G232" s="18">
        <f t="shared" si="73"/>
        <v>0</v>
      </c>
      <c r="H232" s="18">
        <f t="shared" si="74"/>
        <v>0</v>
      </c>
      <c r="I232" s="18"/>
      <c r="J232" s="18"/>
      <c r="K232" s="18"/>
      <c r="L232" s="31"/>
    </row>
    <row r="233" spans="1:13" s="16" customFormat="1">
      <c r="A233" s="11" t="s">
        <v>13</v>
      </c>
      <c r="B233" s="20" t="s">
        <v>21</v>
      </c>
      <c r="C233" s="18"/>
      <c r="D233" s="18"/>
      <c r="E233" s="18"/>
      <c r="F233" s="18"/>
      <c r="G233" s="18">
        <f t="shared" si="73"/>
        <v>0</v>
      </c>
      <c r="H233" s="18">
        <f t="shared" si="74"/>
        <v>0</v>
      </c>
      <c r="I233" s="18"/>
      <c r="J233" s="18"/>
      <c r="K233" s="18"/>
      <c r="L233" s="32"/>
    </row>
    <row r="234" spans="1:13" s="16" customFormat="1">
      <c r="A234" s="11" t="s">
        <v>13</v>
      </c>
      <c r="B234" s="20" t="s">
        <v>22</v>
      </c>
      <c r="C234" s="18">
        <v>1</v>
      </c>
      <c r="D234" s="18"/>
      <c r="E234" s="18"/>
      <c r="F234" s="18"/>
      <c r="G234" s="18">
        <f t="shared" si="73"/>
        <v>1</v>
      </c>
      <c r="H234" s="18">
        <f t="shared" si="74"/>
        <v>0</v>
      </c>
      <c r="I234" s="18"/>
      <c r="J234" s="18"/>
      <c r="K234" s="18"/>
      <c r="L234" s="19"/>
    </row>
    <row r="235" spans="1:13" s="16" customFormat="1">
      <c r="A235" s="11" t="s">
        <v>13</v>
      </c>
      <c r="B235" s="17" t="s">
        <v>23</v>
      </c>
      <c r="C235" s="18"/>
      <c r="D235" s="18"/>
      <c r="E235" s="18"/>
      <c r="F235" s="18"/>
      <c r="G235" s="18">
        <f t="shared" si="73"/>
        <v>0</v>
      </c>
      <c r="H235" s="18">
        <f t="shared" si="74"/>
        <v>0</v>
      </c>
      <c r="I235" s="18"/>
      <c r="J235" s="18"/>
      <c r="K235" s="18"/>
      <c r="L235" s="19"/>
    </row>
    <row r="236" spans="1:13" s="16" customFormat="1">
      <c r="A236" s="11" t="s">
        <v>78</v>
      </c>
      <c r="B236" s="12" t="s">
        <v>79</v>
      </c>
      <c r="C236" s="13">
        <f t="shared" ref="C236:H236" si="75">C239+C246</f>
        <v>315.38</v>
      </c>
      <c r="D236" s="13">
        <f t="shared" si="75"/>
        <v>18</v>
      </c>
      <c r="E236" s="13">
        <f t="shared" si="75"/>
        <v>0</v>
      </c>
      <c r="F236" s="13">
        <f t="shared" si="75"/>
        <v>34.49</v>
      </c>
      <c r="G236" s="21">
        <f t="shared" si="75"/>
        <v>298.89</v>
      </c>
      <c r="H236" s="21">
        <f t="shared" si="75"/>
        <v>-16.489999999999981</v>
      </c>
      <c r="I236" s="21">
        <v>400</v>
      </c>
      <c r="J236" s="21">
        <v>400</v>
      </c>
      <c r="K236" s="21">
        <v>400</v>
      </c>
      <c r="L236" s="19"/>
      <c r="M236" s="15"/>
    </row>
    <row r="237" spans="1:13" s="16" customFormat="1">
      <c r="A237" s="11" t="s">
        <v>13</v>
      </c>
      <c r="B237" s="17" t="s">
        <v>14</v>
      </c>
      <c r="C237" s="18">
        <v>12</v>
      </c>
      <c r="D237" s="18"/>
      <c r="E237" s="18"/>
      <c r="F237" s="18"/>
      <c r="G237" s="18">
        <f>C237+D237-E237-F237</f>
        <v>12</v>
      </c>
      <c r="H237" s="18">
        <f>G237-C237</f>
        <v>0</v>
      </c>
      <c r="I237" s="18">
        <v>12</v>
      </c>
      <c r="J237" s="18">
        <v>12</v>
      </c>
      <c r="K237" s="18">
        <v>12</v>
      </c>
      <c r="L237" s="19"/>
    </row>
    <row r="238" spans="1:13" s="16" customFormat="1">
      <c r="A238" s="11" t="s">
        <v>13</v>
      </c>
      <c r="B238" s="17" t="s">
        <v>15</v>
      </c>
      <c r="C238" s="18">
        <v>2</v>
      </c>
      <c r="D238" s="18"/>
      <c r="E238" s="18"/>
      <c r="F238" s="18"/>
      <c r="G238" s="18">
        <f>C238+D238-E238-F238</f>
        <v>2</v>
      </c>
      <c r="H238" s="18">
        <f>G238-C238</f>
        <v>0</v>
      </c>
      <c r="I238" s="18"/>
      <c r="J238" s="18"/>
      <c r="K238" s="18"/>
      <c r="L238" s="19"/>
    </row>
    <row r="239" spans="1:13" s="16" customFormat="1">
      <c r="A239" s="11" t="s">
        <v>13</v>
      </c>
      <c r="B239" s="17" t="s">
        <v>16</v>
      </c>
      <c r="C239" s="18">
        <f t="shared" ref="C239:K239" si="76">C240+C241+C242+C243+C244+C245</f>
        <v>305.38</v>
      </c>
      <c r="D239" s="18">
        <f t="shared" si="76"/>
        <v>3</v>
      </c>
      <c r="E239" s="18">
        <f t="shared" si="76"/>
        <v>0</v>
      </c>
      <c r="F239" s="18">
        <f t="shared" si="76"/>
        <v>34.49</v>
      </c>
      <c r="G239" s="18">
        <f t="shared" si="76"/>
        <v>273.89</v>
      </c>
      <c r="H239" s="18">
        <f t="shared" si="76"/>
        <v>-31.489999999999981</v>
      </c>
      <c r="I239" s="18">
        <f t="shared" si="76"/>
        <v>0</v>
      </c>
      <c r="J239" s="18">
        <f t="shared" si="76"/>
        <v>0</v>
      </c>
      <c r="K239" s="18">
        <f t="shared" si="76"/>
        <v>0</v>
      </c>
      <c r="L239" s="19"/>
    </row>
    <row r="240" spans="1:13" s="16" customFormat="1">
      <c r="A240" s="11" t="s">
        <v>13</v>
      </c>
      <c r="B240" s="20" t="s">
        <v>17</v>
      </c>
      <c r="C240" s="18">
        <v>167.88</v>
      </c>
      <c r="D240" s="18"/>
      <c r="E240" s="18"/>
      <c r="F240" s="18">
        <f>13.99+13.99</f>
        <v>27.98</v>
      </c>
      <c r="G240" s="18">
        <f t="shared" ref="G240:G246" si="77">C240+D240-E240-F240</f>
        <v>139.9</v>
      </c>
      <c r="H240" s="18">
        <f t="shared" ref="H240:H246" si="78">G240-C240</f>
        <v>-27.97999999999999</v>
      </c>
      <c r="I240" s="18"/>
      <c r="J240" s="18"/>
      <c r="K240" s="18"/>
      <c r="L240" s="30" t="s">
        <v>80</v>
      </c>
    </row>
    <row r="241" spans="1:14" s="16" customFormat="1">
      <c r="A241" s="11" t="s">
        <v>13</v>
      </c>
      <c r="B241" s="20" t="s">
        <v>18</v>
      </c>
      <c r="C241" s="18">
        <v>136</v>
      </c>
      <c r="D241" s="18">
        <v>3</v>
      </c>
      <c r="E241" s="18"/>
      <c r="F241" s="18">
        <v>6.51</v>
      </c>
      <c r="G241" s="18">
        <f t="shared" si="77"/>
        <v>132.49</v>
      </c>
      <c r="H241" s="18">
        <f t="shared" si="78"/>
        <v>-3.5099999999999909</v>
      </c>
      <c r="I241" s="18"/>
      <c r="J241" s="18"/>
      <c r="K241" s="18"/>
      <c r="L241" s="31"/>
    </row>
    <row r="242" spans="1:14" s="16" customFormat="1">
      <c r="A242" s="11"/>
      <c r="B242" s="20" t="s">
        <v>19</v>
      </c>
      <c r="C242" s="18"/>
      <c r="D242" s="18"/>
      <c r="E242" s="18"/>
      <c r="F242" s="18"/>
      <c r="G242" s="18">
        <f t="shared" si="77"/>
        <v>0</v>
      </c>
      <c r="H242" s="18">
        <f t="shared" si="78"/>
        <v>0</v>
      </c>
      <c r="I242" s="18"/>
      <c r="J242" s="18"/>
      <c r="K242" s="18"/>
      <c r="L242" s="31"/>
    </row>
    <row r="243" spans="1:14" s="16" customFormat="1">
      <c r="A243" s="11" t="s">
        <v>13</v>
      </c>
      <c r="B243" s="20" t="s">
        <v>20</v>
      </c>
      <c r="C243" s="18"/>
      <c r="D243" s="18"/>
      <c r="E243" s="18"/>
      <c r="F243" s="18"/>
      <c r="G243" s="18">
        <f t="shared" si="77"/>
        <v>0</v>
      </c>
      <c r="H243" s="18">
        <f t="shared" si="78"/>
        <v>0</v>
      </c>
      <c r="I243" s="18"/>
      <c r="J243" s="18"/>
      <c r="K243" s="18"/>
      <c r="L243" s="31"/>
    </row>
    <row r="244" spans="1:14" s="16" customFormat="1">
      <c r="A244" s="11" t="s">
        <v>13</v>
      </c>
      <c r="B244" s="20" t="s">
        <v>21</v>
      </c>
      <c r="C244" s="18"/>
      <c r="D244" s="18"/>
      <c r="E244" s="18"/>
      <c r="F244" s="18"/>
      <c r="G244" s="18">
        <f t="shared" si="77"/>
        <v>0</v>
      </c>
      <c r="H244" s="18">
        <f t="shared" si="78"/>
        <v>0</v>
      </c>
      <c r="I244" s="18"/>
      <c r="J244" s="18"/>
      <c r="K244" s="18"/>
      <c r="L244" s="32"/>
    </row>
    <row r="245" spans="1:14" s="16" customFormat="1">
      <c r="A245" s="11" t="s">
        <v>13</v>
      </c>
      <c r="B245" s="20" t="s">
        <v>22</v>
      </c>
      <c r="C245" s="18">
        <v>1.5</v>
      </c>
      <c r="D245" s="18"/>
      <c r="E245" s="18"/>
      <c r="F245" s="18"/>
      <c r="G245" s="18">
        <f t="shared" si="77"/>
        <v>1.5</v>
      </c>
      <c r="H245" s="18">
        <f t="shared" si="78"/>
        <v>0</v>
      </c>
      <c r="I245" s="18"/>
      <c r="J245" s="18"/>
      <c r="K245" s="18"/>
      <c r="L245" s="19"/>
    </row>
    <row r="246" spans="1:14" s="16" customFormat="1">
      <c r="A246" s="11" t="s">
        <v>13</v>
      </c>
      <c r="B246" s="17" t="s">
        <v>23</v>
      </c>
      <c r="C246" s="25">
        <v>10</v>
      </c>
      <c r="D246" s="25">
        <v>15</v>
      </c>
      <c r="E246" s="25"/>
      <c r="F246" s="25"/>
      <c r="G246" s="25">
        <f t="shared" si="77"/>
        <v>25</v>
      </c>
      <c r="H246" s="25">
        <f t="shared" si="78"/>
        <v>15</v>
      </c>
      <c r="I246" s="25"/>
      <c r="J246" s="25"/>
      <c r="K246" s="25"/>
      <c r="L246" s="19" t="s">
        <v>81</v>
      </c>
    </row>
    <row r="247" spans="1:14" s="16" customFormat="1">
      <c r="A247" s="11" t="s">
        <v>82</v>
      </c>
      <c r="B247" s="12" t="s">
        <v>83</v>
      </c>
      <c r="C247" s="13">
        <f t="shared" ref="C247:K257" si="79">C258+C269+C280+C291+C302+C313+C324</f>
        <v>9267.89</v>
      </c>
      <c r="D247" s="13">
        <f>SUM(D258,D269,D280,D291,D302,D313,D324)</f>
        <v>22</v>
      </c>
      <c r="E247" s="13">
        <f t="shared" ref="E247:H247" si="80">SUM(E258,E269,E280,E291,E302,E313,E324)</f>
        <v>0</v>
      </c>
      <c r="F247" s="13">
        <f t="shared" si="80"/>
        <v>1435.9420000000005</v>
      </c>
      <c r="G247" s="13">
        <f t="shared" si="80"/>
        <v>7853.9480000000003</v>
      </c>
      <c r="H247" s="13">
        <f t="shared" si="80"/>
        <v>-1413.942</v>
      </c>
      <c r="I247" s="21">
        <f t="shared" si="79"/>
        <v>9800</v>
      </c>
      <c r="J247" s="21">
        <f t="shared" si="79"/>
        <v>10020</v>
      </c>
      <c r="K247" s="21">
        <f t="shared" si="79"/>
        <v>10020</v>
      </c>
      <c r="L247" s="19"/>
      <c r="M247" s="15"/>
      <c r="N247" s="15"/>
    </row>
    <row r="248" spans="1:14" s="16" customFormat="1">
      <c r="A248" s="11" t="s">
        <v>13</v>
      </c>
      <c r="B248" s="17" t="s">
        <v>14</v>
      </c>
      <c r="C248" s="18">
        <f t="shared" si="79"/>
        <v>858</v>
      </c>
      <c r="D248" s="18">
        <f t="shared" ref="D248:H257" si="81">SUM(D259,D270,D281,D292,D303,D314,D325)</f>
        <v>0</v>
      </c>
      <c r="E248" s="18">
        <f t="shared" si="81"/>
        <v>0</v>
      </c>
      <c r="F248" s="18">
        <f t="shared" si="81"/>
        <v>0</v>
      </c>
      <c r="G248" s="18">
        <f t="shared" si="81"/>
        <v>858</v>
      </c>
      <c r="H248" s="18">
        <f t="shared" si="81"/>
        <v>0</v>
      </c>
      <c r="I248" s="18">
        <f t="shared" si="79"/>
        <v>857</v>
      </c>
      <c r="J248" s="18">
        <f t="shared" si="79"/>
        <v>857</v>
      </c>
      <c r="K248" s="18">
        <f t="shared" si="79"/>
        <v>857</v>
      </c>
      <c r="L248" s="19"/>
    </row>
    <row r="249" spans="1:14" s="16" customFormat="1">
      <c r="A249" s="11" t="s">
        <v>13</v>
      </c>
      <c r="B249" s="17" t="s">
        <v>15</v>
      </c>
      <c r="C249" s="18">
        <f t="shared" si="79"/>
        <v>44</v>
      </c>
      <c r="D249" s="18">
        <f t="shared" si="81"/>
        <v>0</v>
      </c>
      <c r="E249" s="18">
        <f t="shared" si="81"/>
        <v>0</v>
      </c>
      <c r="F249" s="18">
        <f t="shared" si="81"/>
        <v>0</v>
      </c>
      <c r="G249" s="18">
        <f t="shared" si="81"/>
        <v>44</v>
      </c>
      <c r="H249" s="18">
        <f t="shared" si="81"/>
        <v>0</v>
      </c>
      <c r="I249" s="18">
        <f t="shared" si="79"/>
        <v>0</v>
      </c>
      <c r="J249" s="18">
        <f t="shared" si="79"/>
        <v>0</v>
      </c>
      <c r="K249" s="18">
        <f t="shared" si="79"/>
        <v>0</v>
      </c>
      <c r="L249" s="19"/>
    </row>
    <row r="250" spans="1:14" s="16" customFormat="1">
      <c r="A250" s="11" t="s">
        <v>13</v>
      </c>
      <c r="B250" s="17" t="s">
        <v>16</v>
      </c>
      <c r="C250" s="18">
        <f t="shared" si="79"/>
        <v>9120.39</v>
      </c>
      <c r="D250" s="18">
        <f t="shared" si="81"/>
        <v>22</v>
      </c>
      <c r="E250" s="18">
        <f t="shared" si="81"/>
        <v>0</v>
      </c>
      <c r="F250" s="18">
        <f t="shared" si="81"/>
        <v>1435.9420000000005</v>
      </c>
      <c r="G250" s="18">
        <f t="shared" si="81"/>
        <v>7706.4479999999994</v>
      </c>
      <c r="H250" s="18">
        <f t="shared" si="81"/>
        <v>-1413.942</v>
      </c>
      <c r="I250" s="18">
        <f t="shared" si="79"/>
        <v>0</v>
      </c>
      <c r="J250" s="18">
        <f t="shared" si="79"/>
        <v>0</v>
      </c>
      <c r="K250" s="18">
        <f t="shared" si="79"/>
        <v>0</v>
      </c>
      <c r="L250" s="19"/>
    </row>
    <row r="251" spans="1:14" s="16" customFormat="1">
      <c r="A251" s="11" t="s">
        <v>13</v>
      </c>
      <c r="B251" s="20" t="s">
        <v>17</v>
      </c>
      <c r="C251" s="18">
        <f t="shared" si="79"/>
        <v>8021.46</v>
      </c>
      <c r="D251" s="18">
        <f t="shared" si="81"/>
        <v>0</v>
      </c>
      <c r="E251" s="18">
        <f t="shared" si="81"/>
        <v>0</v>
      </c>
      <c r="F251" s="18">
        <f t="shared" si="81"/>
        <v>1324.1420000000001</v>
      </c>
      <c r="G251" s="18">
        <f t="shared" si="81"/>
        <v>6697.3180000000011</v>
      </c>
      <c r="H251" s="18">
        <f t="shared" si="81"/>
        <v>-1324.1419999999998</v>
      </c>
      <c r="I251" s="18">
        <f t="shared" si="79"/>
        <v>0</v>
      </c>
      <c r="J251" s="18">
        <f t="shared" si="79"/>
        <v>0</v>
      </c>
      <c r="K251" s="18">
        <f t="shared" si="79"/>
        <v>0</v>
      </c>
      <c r="L251" s="19"/>
    </row>
    <row r="252" spans="1:14" s="16" customFormat="1">
      <c r="A252" s="11" t="s">
        <v>13</v>
      </c>
      <c r="B252" s="20" t="s">
        <v>18</v>
      </c>
      <c r="C252" s="18">
        <f t="shared" si="79"/>
        <v>1062.8300000000002</v>
      </c>
      <c r="D252" s="18">
        <f t="shared" si="81"/>
        <v>22</v>
      </c>
      <c r="E252" s="18">
        <f t="shared" si="81"/>
        <v>0</v>
      </c>
      <c r="F252" s="18">
        <f t="shared" si="81"/>
        <v>111.8</v>
      </c>
      <c r="G252" s="18">
        <f t="shared" si="81"/>
        <v>973.02999999999986</v>
      </c>
      <c r="H252" s="18">
        <f t="shared" si="81"/>
        <v>-89.800000000000026</v>
      </c>
      <c r="I252" s="18">
        <f t="shared" si="79"/>
        <v>0</v>
      </c>
      <c r="J252" s="18">
        <f t="shared" si="79"/>
        <v>0</v>
      </c>
      <c r="K252" s="18">
        <f t="shared" si="79"/>
        <v>0</v>
      </c>
      <c r="L252" s="19"/>
    </row>
    <row r="253" spans="1:14" s="16" customFormat="1">
      <c r="A253" s="11"/>
      <c r="B253" s="20" t="s">
        <v>19</v>
      </c>
      <c r="C253" s="18">
        <f t="shared" si="79"/>
        <v>0</v>
      </c>
      <c r="D253" s="18">
        <f t="shared" si="81"/>
        <v>0</v>
      </c>
      <c r="E253" s="18">
        <f t="shared" si="81"/>
        <v>0</v>
      </c>
      <c r="F253" s="18">
        <f t="shared" si="81"/>
        <v>0</v>
      </c>
      <c r="G253" s="18">
        <f t="shared" si="81"/>
        <v>0</v>
      </c>
      <c r="H253" s="18">
        <f t="shared" si="81"/>
        <v>0</v>
      </c>
      <c r="I253" s="18">
        <f t="shared" si="79"/>
        <v>0</v>
      </c>
      <c r="J253" s="18">
        <f t="shared" si="79"/>
        <v>0</v>
      </c>
      <c r="K253" s="18">
        <f t="shared" si="79"/>
        <v>0</v>
      </c>
      <c r="L253" s="19"/>
    </row>
    <row r="254" spans="1:14" s="16" customFormat="1">
      <c r="A254" s="11" t="s">
        <v>13</v>
      </c>
      <c r="B254" s="20" t="s">
        <v>20</v>
      </c>
      <c r="C254" s="18">
        <f t="shared" si="79"/>
        <v>0</v>
      </c>
      <c r="D254" s="18">
        <f t="shared" si="81"/>
        <v>0</v>
      </c>
      <c r="E254" s="18">
        <f t="shared" si="81"/>
        <v>0</v>
      </c>
      <c r="F254" s="18">
        <f t="shared" si="81"/>
        <v>0</v>
      </c>
      <c r="G254" s="18">
        <f t="shared" si="81"/>
        <v>0</v>
      </c>
      <c r="H254" s="18">
        <f t="shared" si="81"/>
        <v>0</v>
      </c>
      <c r="I254" s="18">
        <f t="shared" si="79"/>
        <v>0</v>
      </c>
      <c r="J254" s="18">
        <f t="shared" si="79"/>
        <v>0</v>
      </c>
      <c r="K254" s="18">
        <f t="shared" si="79"/>
        <v>0</v>
      </c>
      <c r="L254" s="19"/>
    </row>
    <row r="255" spans="1:14" s="16" customFormat="1">
      <c r="A255" s="11" t="s">
        <v>13</v>
      </c>
      <c r="B255" s="20" t="s">
        <v>21</v>
      </c>
      <c r="C255" s="18">
        <f t="shared" si="79"/>
        <v>0</v>
      </c>
      <c r="D255" s="18">
        <f t="shared" si="81"/>
        <v>0</v>
      </c>
      <c r="E255" s="18">
        <f t="shared" si="81"/>
        <v>0</v>
      </c>
      <c r="F255" s="18">
        <f t="shared" si="81"/>
        <v>0</v>
      </c>
      <c r="G255" s="18">
        <f t="shared" si="81"/>
        <v>0</v>
      </c>
      <c r="H255" s="18">
        <f t="shared" si="81"/>
        <v>0</v>
      </c>
      <c r="I255" s="18">
        <f t="shared" si="79"/>
        <v>0</v>
      </c>
      <c r="J255" s="18">
        <f t="shared" si="79"/>
        <v>0</v>
      </c>
      <c r="K255" s="18">
        <f t="shared" si="79"/>
        <v>0</v>
      </c>
      <c r="L255" s="19"/>
    </row>
    <row r="256" spans="1:14" s="16" customFormat="1">
      <c r="A256" s="11" t="s">
        <v>13</v>
      </c>
      <c r="B256" s="20" t="s">
        <v>22</v>
      </c>
      <c r="C256" s="18">
        <f t="shared" si="79"/>
        <v>36.099999999999994</v>
      </c>
      <c r="D256" s="18">
        <f t="shared" si="81"/>
        <v>0</v>
      </c>
      <c r="E256" s="18">
        <f t="shared" si="81"/>
        <v>0</v>
      </c>
      <c r="F256" s="18">
        <f t="shared" si="81"/>
        <v>0</v>
      </c>
      <c r="G256" s="18">
        <f t="shared" si="81"/>
        <v>36.099999999999994</v>
      </c>
      <c r="H256" s="18">
        <f t="shared" si="81"/>
        <v>0</v>
      </c>
      <c r="I256" s="18">
        <f t="shared" si="79"/>
        <v>0</v>
      </c>
      <c r="J256" s="18">
        <f t="shared" si="79"/>
        <v>0</v>
      </c>
      <c r="K256" s="18">
        <f t="shared" si="79"/>
        <v>0</v>
      </c>
      <c r="L256" s="19"/>
    </row>
    <row r="257" spans="1:12" s="16" customFormat="1">
      <c r="A257" s="11" t="s">
        <v>13</v>
      </c>
      <c r="B257" s="17" t="s">
        <v>23</v>
      </c>
      <c r="C257" s="18">
        <f t="shared" si="79"/>
        <v>147.5</v>
      </c>
      <c r="D257" s="18">
        <f t="shared" si="81"/>
        <v>0</v>
      </c>
      <c r="E257" s="18">
        <f t="shared" si="81"/>
        <v>0</v>
      </c>
      <c r="F257" s="18">
        <f t="shared" si="81"/>
        <v>0</v>
      </c>
      <c r="G257" s="18">
        <f t="shared" si="81"/>
        <v>147.5</v>
      </c>
      <c r="H257" s="18">
        <f t="shared" si="81"/>
        <v>0</v>
      </c>
      <c r="I257" s="18">
        <f t="shared" si="79"/>
        <v>0</v>
      </c>
      <c r="J257" s="18">
        <f t="shared" si="79"/>
        <v>0</v>
      </c>
      <c r="K257" s="18">
        <f t="shared" si="79"/>
        <v>0</v>
      </c>
      <c r="L257" s="19"/>
    </row>
    <row r="258" spans="1:12" s="16" customFormat="1">
      <c r="A258" s="11" t="s">
        <v>84</v>
      </c>
      <c r="B258" s="12" t="s">
        <v>85</v>
      </c>
      <c r="C258" s="13">
        <f t="shared" ref="C258:H258" si="82">C261+C268</f>
        <v>2526.09</v>
      </c>
      <c r="D258" s="13">
        <f t="shared" si="82"/>
        <v>0</v>
      </c>
      <c r="E258" s="13">
        <f t="shared" si="82"/>
        <v>0</v>
      </c>
      <c r="F258" s="13">
        <f t="shared" si="82"/>
        <v>395.80799999999999</v>
      </c>
      <c r="G258" s="21">
        <f t="shared" si="82"/>
        <v>2130.2820000000002</v>
      </c>
      <c r="H258" s="21">
        <f t="shared" si="82"/>
        <v>-395.80799999999999</v>
      </c>
      <c r="I258" s="21">
        <v>2630</v>
      </c>
      <c r="J258" s="21">
        <v>2700</v>
      </c>
      <c r="K258" s="21">
        <v>2700</v>
      </c>
      <c r="L258" s="19"/>
    </row>
    <row r="259" spans="1:12" s="16" customFormat="1">
      <c r="A259" s="11" t="s">
        <v>13</v>
      </c>
      <c r="B259" s="17" t="s">
        <v>14</v>
      </c>
      <c r="C259" s="18">
        <v>252</v>
      </c>
      <c r="D259" s="18"/>
      <c r="E259" s="18"/>
      <c r="F259" s="18"/>
      <c r="G259" s="18">
        <f>C259+D259-E259-F259</f>
        <v>252</v>
      </c>
      <c r="H259" s="18">
        <f>G259-C259</f>
        <v>0</v>
      </c>
      <c r="I259" s="18">
        <v>252</v>
      </c>
      <c r="J259" s="18">
        <v>252</v>
      </c>
      <c r="K259" s="18">
        <v>252</v>
      </c>
      <c r="L259" s="19"/>
    </row>
    <row r="260" spans="1:12" s="16" customFormat="1">
      <c r="A260" s="11" t="s">
        <v>13</v>
      </c>
      <c r="B260" s="17" t="s">
        <v>15</v>
      </c>
      <c r="C260" s="18">
        <v>6</v>
      </c>
      <c r="D260" s="18"/>
      <c r="E260" s="18"/>
      <c r="F260" s="18"/>
      <c r="G260" s="18">
        <f>C260+D260-E260-F260</f>
        <v>6</v>
      </c>
      <c r="H260" s="18">
        <f>G260-C260</f>
        <v>0</v>
      </c>
      <c r="I260" s="18"/>
      <c r="J260" s="18"/>
      <c r="K260" s="18"/>
      <c r="L260" s="30" t="s">
        <v>86</v>
      </c>
    </row>
    <row r="261" spans="1:12" s="16" customFormat="1">
      <c r="A261" s="11" t="s">
        <v>13</v>
      </c>
      <c r="B261" s="17" t="s">
        <v>16</v>
      </c>
      <c r="C261" s="18">
        <f t="shared" ref="C261:K261" si="83">C262+C263+C264+C265+C266+C267</f>
        <v>2476.09</v>
      </c>
      <c r="D261" s="18">
        <f t="shared" si="83"/>
        <v>0</v>
      </c>
      <c r="E261" s="18">
        <f t="shared" si="83"/>
        <v>0</v>
      </c>
      <c r="F261" s="18">
        <f t="shared" si="83"/>
        <v>395.80799999999999</v>
      </c>
      <c r="G261" s="18">
        <f t="shared" si="83"/>
        <v>2080.2820000000002</v>
      </c>
      <c r="H261" s="18">
        <f t="shared" si="83"/>
        <v>-395.80799999999999</v>
      </c>
      <c r="I261" s="18">
        <f t="shared" si="83"/>
        <v>0</v>
      </c>
      <c r="J261" s="18">
        <f t="shared" si="83"/>
        <v>0</v>
      </c>
      <c r="K261" s="18">
        <f t="shared" si="83"/>
        <v>0</v>
      </c>
      <c r="L261" s="31"/>
    </row>
    <row r="262" spans="1:12" s="16" customFormat="1">
      <c r="A262" s="11" t="s">
        <v>13</v>
      </c>
      <c r="B262" s="20" t="s">
        <v>17</v>
      </c>
      <c r="C262" s="18">
        <v>2295.96</v>
      </c>
      <c r="D262" s="18"/>
      <c r="E262" s="18"/>
      <c r="F262" s="18">
        <f>188.376+188.7</f>
        <v>377.07600000000002</v>
      </c>
      <c r="G262" s="18">
        <f t="shared" ref="G262:G268" si="84">C262+D262-E262-F262</f>
        <v>1918.884</v>
      </c>
      <c r="H262" s="18">
        <f t="shared" ref="H262:H268" si="85">G262-C262</f>
        <v>-377.07600000000002</v>
      </c>
      <c r="I262" s="18"/>
      <c r="J262" s="18"/>
      <c r="K262" s="18"/>
      <c r="L262" s="31"/>
    </row>
    <row r="263" spans="1:12" s="16" customFormat="1">
      <c r="A263" s="11" t="s">
        <v>13</v>
      </c>
      <c r="B263" s="20" t="s">
        <v>18</v>
      </c>
      <c r="C263" s="18">
        <v>179.13</v>
      </c>
      <c r="D263" s="18"/>
      <c r="E263" s="18"/>
      <c r="F263" s="18">
        <f>7.142+11.59</f>
        <v>18.731999999999999</v>
      </c>
      <c r="G263" s="18">
        <f t="shared" si="84"/>
        <v>160.398</v>
      </c>
      <c r="H263" s="18">
        <f t="shared" si="85"/>
        <v>-18.731999999999999</v>
      </c>
      <c r="I263" s="18"/>
      <c r="J263" s="18"/>
      <c r="K263" s="18"/>
      <c r="L263" s="31"/>
    </row>
    <row r="264" spans="1:12" s="16" customFormat="1">
      <c r="A264" s="11"/>
      <c r="B264" s="20" t="s">
        <v>19</v>
      </c>
      <c r="C264" s="18"/>
      <c r="D264" s="18"/>
      <c r="E264" s="18"/>
      <c r="F264" s="18"/>
      <c r="G264" s="18">
        <f t="shared" si="84"/>
        <v>0</v>
      </c>
      <c r="H264" s="18">
        <f t="shared" si="85"/>
        <v>0</v>
      </c>
      <c r="I264" s="18"/>
      <c r="J264" s="18"/>
      <c r="K264" s="18"/>
      <c r="L264" s="32"/>
    </row>
    <row r="265" spans="1:12" s="16" customFormat="1">
      <c r="A265" s="11" t="s">
        <v>13</v>
      </c>
      <c r="B265" s="20" t="s">
        <v>20</v>
      </c>
      <c r="C265" s="18"/>
      <c r="D265" s="18"/>
      <c r="E265" s="18"/>
      <c r="F265" s="18"/>
      <c r="G265" s="18">
        <f t="shared" si="84"/>
        <v>0</v>
      </c>
      <c r="H265" s="18">
        <f t="shared" si="85"/>
        <v>0</v>
      </c>
      <c r="I265" s="18"/>
      <c r="J265" s="18"/>
      <c r="K265" s="18"/>
      <c r="L265" s="19"/>
    </row>
    <row r="266" spans="1:12" s="16" customFormat="1">
      <c r="A266" s="11" t="s">
        <v>13</v>
      </c>
      <c r="B266" s="20" t="s">
        <v>21</v>
      </c>
      <c r="C266" s="18"/>
      <c r="D266" s="18"/>
      <c r="E266" s="18"/>
      <c r="F266" s="18"/>
      <c r="G266" s="18">
        <f t="shared" si="84"/>
        <v>0</v>
      </c>
      <c r="H266" s="18">
        <f t="shared" si="85"/>
        <v>0</v>
      </c>
      <c r="I266" s="18"/>
      <c r="J266" s="18"/>
      <c r="K266" s="18"/>
      <c r="L266" s="19"/>
    </row>
    <row r="267" spans="1:12" s="16" customFormat="1">
      <c r="A267" s="11" t="s">
        <v>13</v>
      </c>
      <c r="B267" s="20" t="s">
        <v>22</v>
      </c>
      <c r="C267" s="18">
        <v>1</v>
      </c>
      <c r="D267" s="18"/>
      <c r="E267" s="18"/>
      <c r="F267" s="18"/>
      <c r="G267" s="18">
        <f t="shared" si="84"/>
        <v>1</v>
      </c>
      <c r="H267" s="18">
        <f t="shared" si="85"/>
        <v>0</v>
      </c>
      <c r="I267" s="18"/>
      <c r="J267" s="18"/>
      <c r="K267" s="18"/>
      <c r="L267" s="19"/>
    </row>
    <row r="268" spans="1:12" s="16" customFormat="1">
      <c r="A268" s="11" t="s">
        <v>13</v>
      </c>
      <c r="B268" s="17" t="s">
        <v>23</v>
      </c>
      <c r="C268" s="18">
        <v>50</v>
      </c>
      <c r="D268" s="18"/>
      <c r="E268" s="18"/>
      <c r="F268" s="18"/>
      <c r="G268" s="18">
        <f t="shared" si="84"/>
        <v>50</v>
      </c>
      <c r="H268" s="18">
        <f t="shared" si="85"/>
        <v>0</v>
      </c>
      <c r="I268" s="18"/>
      <c r="J268" s="18"/>
      <c r="K268" s="18"/>
      <c r="L268" s="19"/>
    </row>
    <row r="269" spans="1:12" s="16" customFormat="1">
      <c r="A269" s="11" t="s">
        <v>87</v>
      </c>
      <c r="B269" s="12" t="s">
        <v>88</v>
      </c>
      <c r="C269" s="13">
        <f t="shared" ref="C269:H269" si="86">C272+C279</f>
        <v>2423.5600000000004</v>
      </c>
      <c r="D269" s="13">
        <f t="shared" si="86"/>
        <v>0</v>
      </c>
      <c r="E269" s="13">
        <f t="shared" si="86"/>
        <v>0</v>
      </c>
      <c r="F269" s="13">
        <f t="shared" si="86"/>
        <v>368.52600000000001</v>
      </c>
      <c r="G269" s="21">
        <f t="shared" si="86"/>
        <v>2055.0340000000001</v>
      </c>
      <c r="H269" s="21">
        <f t="shared" si="86"/>
        <v>-368.5259999999999</v>
      </c>
      <c r="I269" s="21">
        <v>2600</v>
      </c>
      <c r="J269" s="21">
        <v>2700</v>
      </c>
      <c r="K269" s="21">
        <v>2700</v>
      </c>
      <c r="L269" s="19"/>
    </row>
    <row r="270" spans="1:12" s="16" customFormat="1">
      <c r="A270" s="11" t="s">
        <v>13</v>
      </c>
      <c r="B270" s="17" t="s">
        <v>14</v>
      </c>
      <c r="C270" s="18">
        <v>228</v>
      </c>
      <c r="D270" s="18"/>
      <c r="E270" s="18"/>
      <c r="F270" s="18"/>
      <c r="G270" s="18">
        <f>C270+D270-E270-F270</f>
        <v>228</v>
      </c>
      <c r="H270" s="18">
        <f>G270-C270</f>
        <v>0</v>
      </c>
      <c r="I270" s="18">
        <v>228</v>
      </c>
      <c r="J270" s="18">
        <v>228</v>
      </c>
      <c r="K270" s="18">
        <v>228</v>
      </c>
      <c r="L270" s="19"/>
    </row>
    <row r="271" spans="1:12" s="16" customFormat="1">
      <c r="A271" s="11" t="s">
        <v>13</v>
      </c>
      <c r="B271" s="17" t="s">
        <v>15</v>
      </c>
      <c r="C271" s="18">
        <v>16</v>
      </c>
      <c r="D271" s="18"/>
      <c r="E271" s="18"/>
      <c r="F271" s="18"/>
      <c r="G271" s="18">
        <f>C271+D271-E271-F271</f>
        <v>16</v>
      </c>
      <c r="H271" s="18">
        <f>G271-C271</f>
        <v>0</v>
      </c>
      <c r="I271" s="18"/>
      <c r="J271" s="18"/>
      <c r="K271" s="18"/>
      <c r="L271" s="19"/>
    </row>
    <row r="272" spans="1:12" s="16" customFormat="1">
      <c r="A272" s="11" t="s">
        <v>13</v>
      </c>
      <c r="B272" s="17" t="s">
        <v>16</v>
      </c>
      <c r="C272" s="18">
        <f t="shared" ref="C272:K272" si="87">C273+C274+C275+C276+C277+C278</f>
        <v>2423.5600000000004</v>
      </c>
      <c r="D272" s="18">
        <f t="shared" si="87"/>
        <v>0</v>
      </c>
      <c r="E272" s="18">
        <f t="shared" si="87"/>
        <v>0</v>
      </c>
      <c r="F272" s="18">
        <f t="shared" si="87"/>
        <v>368.52600000000001</v>
      </c>
      <c r="G272" s="18">
        <f t="shared" si="87"/>
        <v>2055.0340000000001</v>
      </c>
      <c r="H272" s="18">
        <f t="shared" si="87"/>
        <v>-368.5259999999999</v>
      </c>
      <c r="I272" s="18">
        <f t="shared" si="87"/>
        <v>0</v>
      </c>
      <c r="J272" s="18">
        <f t="shared" si="87"/>
        <v>0</v>
      </c>
      <c r="K272" s="18">
        <f t="shared" si="87"/>
        <v>0</v>
      </c>
      <c r="L272" s="30" t="s">
        <v>89</v>
      </c>
    </row>
    <row r="273" spans="1:12" s="16" customFormat="1">
      <c r="A273" s="11" t="s">
        <v>13</v>
      </c>
      <c r="B273" s="20" t="s">
        <v>17</v>
      </c>
      <c r="C273" s="18">
        <v>2099.7600000000002</v>
      </c>
      <c r="D273" s="18"/>
      <c r="E273" s="18"/>
      <c r="F273" s="18">
        <f>173.82+174.195</f>
        <v>348.01499999999999</v>
      </c>
      <c r="G273" s="18">
        <f t="shared" ref="G273:G279" si="88">C273+D273-E273-F273</f>
        <v>1751.7450000000003</v>
      </c>
      <c r="H273" s="18">
        <f t="shared" ref="H273:H279" si="89">G273-C273</f>
        <v>-348.01499999999987</v>
      </c>
      <c r="I273" s="18"/>
      <c r="J273" s="18"/>
      <c r="K273" s="18"/>
      <c r="L273" s="31"/>
    </row>
    <row r="274" spans="1:12" s="16" customFormat="1">
      <c r="A274" s="11" t="s">
        <v>13</v>
      </c>
      <c r="B274" s="20" t="s">
        <v>18</v>
      </c>
      <c r="C274" s="18">
        <v>302.89999999999998</v>
      </c>
      <c r="D274" s="18"/>
      <c r="E274" s="18"/>
      <c r="F274" s="18">
        <f>11.029+9.482</f>
        <v>20.510999999999999</v>
      </c>
      <c r="G274" s="18">
        <f t="shared" si="88"/>
        <v>282.38899999999995</v>
      </c>
      <c r="H274" s="18">
        <f t="shared" si="89"/>
        <v>-20.511000000000024</v>
      </c>
      <c r="I274" s="18"/>
      <c r="J274" s="18"/>
      <c r="K274" s="18"/>
      <c r="L274" s="31"/>
    </row>
    <row r="275" spans="1:12" s="16" customFormat="1">
      <c r="A275" s="11"/>
      <c r="B275" s="20" t="s">
        <v>19</v>
      </c>
      <c r="C275" s="18"/>
      <c r="D275" s="18"/>
      <c r="E275" s="18"/>
      <c r="F275" s="18"/>
      <c r="G275" s="18">
        <f t="shared" si="88"/>
        <v>0</v>
      </c>
      <c r="H275" s="18">
        <f t="shared" si="89"/>
        <v>0</v>
      </c>
      <c r="I275" s="18"/>
      <c r="J275" s="18"/>
      <c r="K275" s="18"/>
      <c r="L275" s="31"/>
    </row>
    <row r="276" spans="1:12" s="16" customFormat="1">
      <c r="A276" s="11" t="s">
        <v>13</v>
      </c>
      <c r="B276" s="20" t="s">
        <v>20</v>
      </c>
      <c r="C276" s="18"/>
      <c r="D276" s="18"/>
      <c r="E276" s="18"/>
      <c r="F276" s="18"/>
      <c r="G276" s="18">
        <f t="shared" si="88"/>
        <v>0</v>
      </c>
      <c r="H276" s="18">
        <f t="shared" si="89"/>
        <v>0</v>
      </c>
      <c r="I276" s="18"/>
      <c r="J276" s="18"/>
      <c r="K276" s="18"/>
      <c r="L276" s="32"/>
    </row>
    <row r="277" spans="1:12" s="16" customFormat="1">
      <c r="A277" s="11" t="s">
        <v>13</v>
      </c>
      <c r="B277" s="20" t="s">
        <v>21</v>
      </c>
      <c r="C277" s="18"/>
      <c r="D277" s="18"/>
      <c r="E277" s="18"/>
      <c r="F277" s="18"/>
      <c r="G277" s="18">
        <f t="shared" si="88"/>
        <v>0</v>
      </c>
      <c r="H277" s="18">
        <f t="shared" si="89"/>
        <v>0</v>
      </c>
      <c r="I277" s="18"/>
      <c r="J277" s="18"/>
      <c r="K277" s="18"/>
      <c r="L277" s="19"/>
    </row>
    <row r="278" spans="1:12" s="16" customFormat="1">
      <c r="A278" s="11" t="s">
        <v>13</v>
      </c>
      <c r="B278" s="20" t="s">
        <v>22</v>
      </c>
      <c r="C278" s="18">
        <v>20.9</v>
      </c>
      <c r="D278" s="18"/>
      <c r="E278" s="18"/>
      <c r="F278" s="18"/>
      <c r="G278" s="18">
        <f t="shared" si="88"/>
        <v>20.9</v>
      </c>
      <c r="H278" s="18">
        <f t="shared" si="89"/>
        <v>0</v>
      </c>
      <c r="I278" s="18"/>
      <c r="J278" s="18"/>
      <c r="K278" s="18"/>
      <c r="L278" s="19"/>
    </row>
    <row r="279" spans="1:12" s="16" customFormat="1">
      <c r="A279" s="11" t="s">
        <v>13</v>
      </c>
      <c r="B279" s="17" t="s">
        <v>23</v>
      </c>
      <c r="C279" s="18"/>
      <c r="D279" s="18"/>
      <c r="E279" s="18"/>
      <c r="F279" s="18"/>
      <c r="G279" s="18">
        <f t="shared" si="88"/>
        <v>0</v>
      </c>
      <c r="H279" s="18">
        <f t="shared" si="89"/>
        <v>0</v>
      </c>
      <c r="I279" s="18"/>
      <c r="J279" s="18"/>
      <c r="K279" s="18"/>
      <c r="L279" s="19"/>
    </row>
    <row r="280" spans="1:12" s="16" customFormat="1">
      <c r="A280" s="11" t="s">
        <v>90</v>
      </c>
      <c r="B280" s="12" t="s">
        <v>91</v>
      </c>
      <c r="C280" s="13">
        <f t="shared" ref="C280:H280" si="90">C283+C290</f>
        <v>1547.52</v>
      </c>
      <c r="D280" s="13">
        <f t="shared" si="90"/>
        <v>0</v>
      </c>
      <c r="E280" s="13">
        <f t="shared" si="90"/>
        <v>0</v>
      </c>
      <c r="F280" s="13">
        <f t="shared" si="90"/>
        <v>253.21900000000002</v>
      </c>
      <c r="G280" s="21">
        <f t="shared" si="90"/>
        <v>1294.3009999999999</v>
      </c>
      <c r="H280" s="21">
        <f t="shared" si="90"/>
        <v>-253.21900000000005</v>
      </c>
      <c r="I280" s="21">
        <v>1650</v>
      </c>
      <c r="J280" s="21">
        <v>1700</v>
      </c>
      <c r="K280" s="21">
        <v>1700</v>
      </c>
      <c r="L280" s="19"/>
    </row>
    <row r="281" spans="1:12" s="16" customFormat="1">
      <c r="A281" s="11" t="s">
        <v>13</v>
      </c>
      <c r="B281" s="17" t="s">
        <v>14</v>
      </c>
      <c r="C281" s="18">
        <v>153</v>
      </c>
      <c r="D281" s="18"/>
      <c r="E281" s="18"/>
      <c r="F281" s="18"/>
      <c r="G281" s="18">
        <f>C281+D281-E281-F281</f>
        <v>153</v>
      </c>
      <c r="H281" s="18">
        <f>G281-C281</f>
        <v>0</v>
      </c>
      <c r="I281" s="18">
        <v>153</v>
      </c>
      <c r="J281" s="18">
        <v>153</v>
      </c>
      <c r="K281" s="18">
        <v>153</v>
      </c>
      <c r="L281" s="19"/>
    </row>
    <row r="282" spans="1:12" s="16" customFormat="1">
      <c r="A282" s="11" t="s">
        <v>13</v>
      </c>
      <c r="B282" s="17" t="s">
        <v>15</v>
      </c>
      <c r="C282" s="18">
        <v>4</v>
      </c>
      <c r="D282" s="18"/>
      <c r="E282" s="18"/>
      <c r="F282" s="18"/>
      <c r="G282" s="18">
        <f>C282+D282-E282-F282</f>
        <v>4</v>
      </c>
      <c r="H282" s="18">
        <f>G282-C282</f>
        <v>0</v>
      </c>
      <c r="I282" s="18"/>
      <c r="J282" s="18"/>
      <c r="K282" s="18"/>
      <c r="L282" s="19"/>
    </row>
    <row r="283" spans="1:12" s="16" customFormat="1">
      <c r="A283" s="11" t="s">
        <v>13</v>
      </c>
      <c r="B283" s="17" t="s">
        <v>16</v>
      </c>
      <c r="C283" s="18">
        <f t="shared" ref="C283:K283" si="91">C284+C285+C286+C287+C288+C289</f>
        <v>1547.52</v>
      </c>
      <c r="D283" s="18">
        <f t="shared" si="91"/>
        <v>0</v>
      </c>
      <c r="E283" s="18">
        <f t="shared" si="91"/>
        <v>0</v>
      </c>
      <c r="F283" s="18">
        <f t="shared" si="91"/>
        <v>253.21900000000002</v>
      </c>
      <c r="G283" s="18">
        <f t="shared" si="91"/>
        <v>1294.3009999999999</v>
      </c>
      <c r="H283" s="18">
        <f t="shared" si="91"/>
        <v>-253.21900000000005</v>
      </c>
      <c r="I283" s="18">
        <f t="shared" si="91"/>
        <v>0</v>
      </c>
      <c r="J283" s="18">
        <f t="shared" si="91"/>
        <v>0</v>
      </c>
      <c r="K283" s="18">
        <f t="shared" si="91"/>
        <v>0</v>
      </c>
      <c r="L283" s="19"/>
    </row>
    <row r="284" spans="1:12" s="16" customFormat="1">
      <c r="A284" s="11" t="s">
        <v>13</v>
      </c>
      <c r="B284" s="20" t="s">
        <v>17</v>
      </c>
      <c r="C284" s="18">
        <v>1420.32</v>
      </c>
      <c r="D284" s="18"/>
      <c r="E284" s="18"/>
      <c r="F284" s="18">
        <f>118.349+118.35</f>
        <v>236.69900000000001</v>
      </c>
      <c r="G284" s="18">
        <f t="shared" ref="G284:G290" si="92">C284+D284-E284-F284</f>
        <v>1183.6209999999999</v>
      </c>
      <c r="H284" s="18">
        <f t="shared" ref="H284:H290" si="93">G284-C284</f>
        <v>-236.69900000000007</v>
      </c>
      <c r="I284" s="18"/>
      <c r="J284" s="18"/>
      <c r="K284" s="18"/>
      <c r="L284" s="30" t="s">
        <v>92</v>
      </c>
    </row>
    <row r="285" spans="1:12" s="16" customFormat="1">
      <c r="A285" s="11" t="s">
        <v>13</v>
      </c>
      <c r="B285" s="20" t="s">
        <v>18</v>
      </c>
      <c r="C285" s="18">
        <v>121.2</v>
      </c>
      <c r="D285" s="18"/>
      <c r="E285" s="18"/>
      <c r="F285" s="18">
        <v>16.52</v>
      </c>
      <c r="G285" s="18">
        <f t="shared" si="92"/>
        <v>104.68</v>
      </c>
      <c r="H285" s="18">
        <f t="shared" si="93"/>
        <v>-16.519999999999996</v>
      </c>
      <c r="I285" s="18"/>
      <c r="J285" s="18"/>
      <c r="K285" s="18"/>
      <c r="L285" s="31"/>
    </row>
    <row r="286" spans="1:12" s="16" customFormat="1">
      <c r="A286" s="11"/>
      <c r="B286" s="20" t="s">
        <v>19</v>
      </c>
      <c r="C286" s="18"/>
      <c r="D286" s="18"/>
      <c r="E286" s="18"/>
      <c r="F286" s="18"/>
      <c r="G286" s="18">
        <f t="shared" si="92"/>
        <v>0</v>
      </c>
      <c r="H286" s="18">
        <f t="shared" si="93"/>
        <v>0</v>
      </c>
      <c r="I286" s="18"/>
      <c r="J286" s="18"/>
      <c r="K286" s="18"/>
      <c r="L286" s="31"/>
    </row>
    <row r="287" spans="1:12" s="16" customFormat="1">
      <c r="A287" s="11" t="s">
        <v>13</v>
      </c>
      <c r="B287" s="20" t="s">
        <v>20</v>
      </c>
      <c r="C287" s="18"/>
      <c r="D287" s="18"/>
      <c r="E287" s="18"/>
      <c r="F287" s="18"/>
      <c r="G287" s="18">
        <f t="shared" si="92"/>
        <v>0</v>
      </c>
      <c r="H287" s="18">
        <f t="shared" si="93"/>
        <v>0</v>
      </c>
      <c r="I287" s="18"/>
      <c r="J287" s="18"/>
      <c r="K287" s="18"/>
      <c r="L287" s="31"/>
    </row>
    <row r="288" spans="1:12" s="16" customFormat="1">
      <c r="A288" s="11" t="s">
        <v>13</v>
      </c>
      <c r="B288" s="20" t="s">
        <v>21</v>
      </c>
      <c r="C288" s="18"/>
      <c r="D288" s="18"/>
      <c r="E288" s="18"/>
      <c r="F288" s="18"/>
      <c r="G288" s="18">
        <f t="shared" si="92"/>
        <v>0</v>
      </c>
      <c r="H288" s="18">
        <f t="shared" si="93"/>
        <v>0</v>
      </c>
      <c r="I288" s="18"/>
      <c r="J288" s="18"/>
      <c r="K288" s="18"/>
      <c r="L288" s="32"/>
    </row>
    <row r="289" spans="1:12" s="16" customFormat="1">
      <c r="A289" s="11" t="s">
        <v>13</v>
      </c>
      <c r="B289" s="20" t="s">
        <v>22</v>
      </c>
      <c r="C289" s="18">
        <v>6</v>
      </c>
      <c r="D289" s="18"/>
      <c r="E289" s="18"/>
      <c r="F289" s="18"/>
      <c r="G289" s="18">
        <f t="shared" si="92"/>
        <v>6</v>
      </c>
      <c r="H289" s="18">
        <f t="shared" si="93"/>
        <v>0</v>
      </c>
      <c r="I289" s="18"/>
      <c r="J289" s="18"/>
      <c r="K289" s="18"/>
      <c r="L289" s="19"/>
    </row>
    <row r="290" spans="1:12" s="16" customFormat="1">
      <c r="A290" s="11" t="s">
        <v>13</v>
      </c>
      <c r="B290" s="17" t="s">
        <v>23</v>
      </c>
      <c r="C290" s="18"/>
      <c r="D290" s="18"/>
      <c r="E290" s="18"/>
      <c r="F290" s="18"/>
      <c r="G290" s="18">
        <f t="shared" si="92"/>
        <v>0</v>
      </c>
      <c r="H290" s="18">
        <f t="shared" si="93"/>
        <v>0</v>
      </c>
      <c r="I290" s="18"/>
      <c r="J290" s="18"/>
      <c r="K290" s="18"/>
      <c r="L290" s="19"/>
    </row>
    <row r="291" spans="1:12" s="16" customFormat="1">
      <c r="A291" s="11" t="s">
        <v>93</v>
      </c>
      <c r="B291" s="12" t="s">
        <v>94</v>
      </c>
      <c r="C291" s="13">
        <f t="shared" ref="C291:H291" si="94">C294+C301</f>
        <v>620.42000000000007</v>
      </c>
      <c r="D291" s="13">
        <f t="shared" si="94"/>
        <v>22</v>
      </c>
      <c r="E291" s="13">
        <f t="shared" si="94"/>
        <v>0</v>
      </c>
      <c r="F291" s="13">
        <f t="shared" si="94"/>
        <v>101.71600000000001</v>
      </c>
      <c r="G291" s="21">
        <f t="shared" si="94"/>
        <v>540.70400000000006</v>
      </c>
      <c r="H291" s="21">
        <f t="shared" si="94"/>
        <v>-79.716000000000022</v>
      </c>
      <c r="I291" s="21">
        <v>650</v>
      </c>
      <c r="J291" s="21">
        <v>650</v>
      </c>
      <c r="K291" s="21">
        <v>650</v>
      </c>
      <c r="L291" s="19"/>
    </row>
    <row r="292" spans="1:12" s="16" customFormat="1">
      <c r="A292" s="11" t="s">
        <v>13</v>
      </c>
      <c r="B292" s="17" t="s">
        <v>14</v>
      </c>
      <c r="C292" s="18">
        <v>52</v>
      </c>
      <c r="D292" s="18"/>
      <c r="E292" s="18"/>
      <c r="F292" s="18"/>
      <c r="G292" s="18">
        <f>C292+D292-E292-F292</f>
        <v>52</v>
      </c>
      <c r="H292" s="18">
        <f>G292-C292</f>
        <v>0</v>
      </c>
      <c r="I292" s="18">
        <v>52</v>
      </c>
      <c r="J292" s="18">
        <v>52</v>
      </c>
      <c r="K292" s="18">
        <v>52</v>
      </c>
      <c r="L292" s="19"/>
    </row>
    <row r="293" spans="1:12" s="16" customFormat="1">
      <c r="A293" s="11" t="s">
        <v>13</v>
      </c>
      <c r="B293" s="17" t="s">
        <v>15</v>
      </c>
      <c r="C293" s="18">
        <v>2</v>
      </c>
      <c r="D293" s="18"/>
      <c r="E293" s="18"/>
      <c r="F293" s="18"/>
      <c r="G293" s="18">
        <f>C293+D293-E293-F293</f>
        <v>2</v>
      </c>
      <c r="H293" s="18">
        <f>G293-C293</f>
        <v>0</v>
      </c>
      <c r="I293" s="18"/>
      <c r="J293" s="18"/>
      <c r="K293" s="18"/>
      <c r="L293" s="19"/>
    </row>
    <row r="294" spans="1:12" s="16" customFormat="1">
      <c r="A294" s="11" t="s">
        <v>13</v>
      </c>
      <c r="B294" s="17" t="s">
        <v>16</v>
      </c>
      <c r="C294" s="18">
        <f t="shared" ref="C294:K294" si="95">C295+C296+C297+C298+C299+C300</f>
        <v>620.42000000000007</v>
      </c>
      <c r="D294" s="18">
        <f t="shared" si="95"/>
        <v>22</v>
      </c>
      <c r="E294" s="18">
        <f t="shared" si="95"/>
        <v>0</v>
      </c>
      <c r="F294" s="18">
        <f t="shared" si="95"/>
        <v>101.71600000000001</v>
      </c>
      <c r="G294" s="18">
        <f t="shared" si="95"/>
        <v>540.70400000000006</v>
      </c>
      <c r="H294" s="18">
        <f t="shared" si="95"/>
        <v>-79.716000000000022</v>
      </c>
      <c r="I294" s="18">
        <f t="shared" si="95"/>
        <v>0</v>
      </c>
      <c r="J294" s="18">
        <f t="shared" si="95"/>
        <v>0</v>
      </c>
      <c r="K294" s="18">
        <f t="shared" si="95"/>
        <v>0</v>
      </c>
      <c r="L294" s="19"/>
    </row>
    <row r="295" spans="1:12" s="16" customFormat="1">
      <c r="A295" s="11" t="s">
        <v>13</v>
      </c>
      <c r="B295" s="20" t="s">
        <v>17</v>
      </c>
      <c r="C295" s="18">
        <v>516.12</v>
      </c>
      <c r="D295" s="18"/>
      <c r="E295" s="18"/>
      <c r="F295" s="18">
        <f>43.008+43.008</f>
        <v>86.016000000000005</v>
      </c>
      <c r="G295" s="18">
        <f t="shared" ref="G295:G301" si="96">C295+D295-E295-F295</f>
        <v>430.10399999999998</v>
      </c>
      <c r="H295" s="18">
        <f t="shared" ref="H295:H301" si="97">G295-C295</f>
        <v>-86.01600000000002</v>
      </c>
      <c r="I295" s="18"/>
      <c r="J295" s="18"/>
      <c r="K295" s="18"/>
      <c r="L295" s="30" t="s">
        <v>95</v>
      </c>
    </row>
    <row r="296" spans="1:12" s="16" customFormat="1">
      <c r="A296" s="11" t="s">
        <v>13</v>
      </c>
      <c r="B296" s="20" t="s">
        <v>18</v>
      </c>
      <c r="C296" s="18">
        <v>104.1</v>
      </c>
      <c r="D296" s="18">
        <v>22</v>
      </c>
      <c r="E296" s="18"/>
      <c r="F296" s="18">
        <f>12.03+3.67</f>
        <v>15.7</v>
      </c>
      <c r="G296" s="18">
        <f t="shared" si="96"/>
        <v>110.39999999999999</v>
      </c>
      <c r="H296" s="18">
        <f t="shared" si="97"/>
        <v>6.2999999999999972</v>
      </c>
      <c r="I296" s="18"/>
      <c r="J296" s="18"/>
      <c r="K296" s="18"/>
      <c r="L296" s="31"/>
    </row>
    <row r="297" spans="1:12" s="16" customFormat="1">
      <c r="A297" s="11"/>
      <c r="B297" s="20" t="s">
        <v>19</v>
      </c>
      <c r="C297" s="18"/>
      <c r="D297" s="18"/>
      <c r="E297" s="18"/>
      <c r="F297" s="18"/>
      <c r="G297" s="18">
        <f t="shared" si="96"/>
        <v>0</v>
      </c>
      <c r="H297" s="18">
        <f t="shared" si="97"/>
        <v>0</v>
      </c>
      <c r="I297" s="18"/>
      <c r="J297" s="18"/>
      <c r="K297" s="18"/>
      <c r="L297" s="31"/>
    </row>
    <row r="298" spans="1:12" s="16" customFormat="1">
      <c r="A298" s="11" t="s">
        <v>13</v>
      </c>
      <c r="B298" s="20" t="s">
        <v>20</v>
      </c>
      <c r="C298" s="18"/>
      <c r="D298" s="18"/>
      <c r="E298" s="18"/>
      <c r="F298" s="18"/>
      <c r="G298" s="18">
        <f t="shared" si="96"/>
        <v>0</v>
      </c>
      <c r="H298" s="18">
        <f t="shared" si="97"/>
        <v>0</v>
      </c>
      <c r="I298" s="18"/>
      <c r="J298" s="18"/>
      <c r="K298" s="18"/>
      <c r="L298" s="31"/>
    </row>
    <row r="299" spans="1:12" s="16" customFormat="1">
      <c r="A299" s="11" t="s">
        <v>13</v>
      </c>
      <c r="B299" s="20" t="s">
        <v>21</v>
      </c>
      <c r="C299" s="18"/>
      <c r="D299" s="18"/>
      <c r="E299" s="18"/>
      <c r="F299" s="18"/>
      <c r="G299" s="18">
        <f t="shared" si="96"/>
        <v>0</v>
      </c>
      <c r="H299" s="18">
        <f t="shared" si="97"/>
        <v>0</v>
      </c>
      <c r="I299" s="18"/>
      <c r="J299" s="18"/>
      <c r="K299" s="18"/>
      <c r="L299" s="32"/>
    </row>
    <row r="300" spans="1:12" s="16" customFormat="1">
      <c r="A300" s="11" t="s">
        <v>13</v>
      </c>
      <c r="B300" s="20" t="s">
        <v>22</v>
      </c>
      <c r="C300" s="18">
        <v>0.2</v>
      </c>
      <c r="D300" s="18"/>
      <c r="E300" s="18"/>
      <c r="F300" s="18"/>
      <c r="G300" s="18">
        <f t="shared" si="96"/>
        <v>0.2</v>
      </c>
      <c r="H300" s="18">
        <f t="shared" si="97"/>
        <v>0</v>
      </c>
      <c r="I300" s="18"/>
      <c r="J300" s="18"/>
      <c r="K300" s="18"/>
      <c r="L300" s="19"/>
    </row>
    <row r="301" spans="1:12" s="16" customFormat="1">
      <c r="A301" s="11" t="s">
        <v>13</v>
      </c>
      <c r="B301" s="17" t="s">
        <v>23</v>
      </c>
      <c r="C301" s="18"/>
      <c r="D301" s="18"/>
      <c r="E301" s="18"/>
      <c r="F301" s="18"/>
      <c r="G301" s="18">
        <f t="shared" si="96"/>
        <v>0</v>
      </c>
      <c r="H301" s="18">
        <f t="shared" si="97"/>
        <v>0</v>
      </c>
      <c r="I301" s="18"/>
      <c r="J301" s="18"/>
      <c r="K301" s="18"/>
      <c r="L301" s="19"/>
    </row>
    <row r="302" spans="1:12" s="16" customFormat="1">
      <c r="A302" s="11" t="s">
        <v>96</v>
      </c>
      <c r="B302" s="12" t="s">
        <v>97</v>
      </c>
      <c r="C302" s="13">
        <f t="shared" ref="C302:H302" si="98">C305+C312</f>
        <v>801.3</v>
      </c>
      <c r="D302" s="13">
        <f t="shared" si="98"/>
        <v>0</v>
      </c>
      <c r="E302" s="13">
        <f t="shared" si="98"/>
        <v>0</v>
      </c>
      <c r="F302" s="13">
        <f t="shared" si="98"/>
        <v>111.47</v>
      </c>
      <c r="G302" s="21">
        <f t="shared" si="98"/>
        <v>689.83</v>
      </c>
      <c r="H302" s="21">
        <f t="shared" si="98"/>
        <v>-111.46999999999997</v>
      </c>
      <c r="I302" s="21">
        <v>850</v>
      </c>
      <c r="J302" s="21">
        <v>850</v>
      </c>
      <c r="K302" s="21">
        <v>850</v>
      </c>
      <c r="L302" s="19"/>
    </row>
    <row r="303" spans="1:12" s="16" customFormat="1">
      <c r="A303" s="11" t="s">
        <v>13</v>
      </c>
      <c r="B303" s="17" t="s">
        <v>14</v>
      </c>
      <c r="C303" s="18">
        <v>60</v>
      </c>
      <c r="D303" s="18"/>
      <c r="E303" s="18"/>
      <c r="F303" s="18"/>
      <c r="G303" s="18">
        <f>C303+D303-E303-F303</f>
        <v>60</v>
      </c>
      <c r="H303" s="18">
        <f>G303-C303</f>
        <v>0</v>
      </c>
      <c r="I303" s="18">
        <v>60</v>
      </c>
      <c r="J303" s="18">
        <v>60</v>
      </c>
      <c r="K303" s="18">
        <v>60</v>
      </c>
      <c r="L303" s="19"/>
    </row>
    <row r="304" spans="1:12" s="16" customFormat="1">
      <c r="A304" s="11" t="s">
        <v>13</v>
      </c>
      <c r="B304" s="17" t="s">
        <v>15</v>
      </c>
      <c r="C304" s="18">
        <v>8</v>
      </c>
      <c r="D304" s="18"/>
      <c r="E304" s="18"/>
      <c r="F304" s="18"/>
      <c r="G304" s="18">
        <f>C304+D304-E304-F304</f>
        <v>8</v>
      </c>
      <c r="H304" s="18">
        <f>G304-C304</f>
        <v>0</v>
      </c>
      <c r="I304" s="18"/>
      <c r="J304" s="18"/>
      <c r="K304" s="18"/>
      <c r="L304" s="19"/>
    </row>
    <row r="305" spans="1:12" s="16" customFormat="1">
      <c r="A305" s="11" t="s">
        <v>13</v>
      </c>
      <c r="B305" s="17" t="s">
        <v>16</v>
      </c>
      <c r="C305" s="18">
        <f t="shared" ref="C305:K305" si="99">C306+C307+C308+C309+C310+C311</f>
        <v>730.5</v>
      </c>
      <c r="D305" s="18">
        <f t="shared" si="99"/>
        <v>0</v>
      </c>
      <c r="E305" s="18">
        <v>0</v>
      </c>
      <c r="F305" s="18">
        <f t="shared" si="99"/>
        <v>111.47</v>
      </c>
      <c r="G305" s="18">
        <f t="shared" si="99"/>
        <v>619.03000000000009</v>
      </c>
      <c r="H305" s="18">
        <f t="shared" si="99"/>
        <v>-111.46999999999997</v>
      </c>
      <c r="I305" s="18">
        <f t="shared" si="99"/>
        <v>0</v>
      </c>
      <c r="J305" s="18">
        <f t="shared" si="99"/>
        <v>0</v>
      </c>
      <c r="K305" s="18">
        <f t="shared" si="99"/>
        <v>0</v>
      </c>
      <c r="L305" s="19"/>
    </row>
    <row r="306" spans="1:12" s="16" customFormat="1">
      <c r="A306" s="11" t="s">
        <v>13</v>
      </c>
      <c r="B306" s="20" t="s">
        <v>17</v>
      </c>
      <c r="C306" s="18">
        <v>598.20000000000005</v>
      </c>
      <c r="D306" s="18"/>
      <c r="E306" s="18"/>
      <c r="F306" s="18">
        <f>48.967+48.967</f>
        <v>97.933999999999997</v>
      </c>
      <c r="G306" s="18">
        <f t="shared" ref="G306:G312" si="100">C306+D306-E306-F306</f>
        <v>500.26600000000008</v>
      </c>
      <c r="H306" s="18">
        <f t="shared" ref="H306:H312" si="101">G306-C306</f>
        <v>-97.933999999999969</v>
      </c>
      <c r="I306" s="18"/>
      <c r="J306" s="18"/>
      <c r="K306" s="18"/>
      <c r="L306" s="30" t="s">
        <v>98</v>
      </c>
    </row>
    <row r="307" spans="1:12" s="16" customFormat="1">
      <c r="A307" s="11" t="s">
        <v>13</v>
      </c>
      <c r="B307" s="20" t="s">
        <v>18</v>
      </c>
      <c r="C307" s="18">
        <v>131.30000000000001</v>
      </c>
      <c r="D307" s="18"/>
      <c r="E307" s="18"/>
      <c r="F307" s="18">
        <f>3.853+9.683</f>
        <v>13.536</v>
      </c>
      <c r="G307" s="18">
        <f t="shared" si="100"/>
        <v>117.76400000000001</v>
      </c>
      <c r="H307" s="18">
        <f t="shared" si="101"/>
        <v>-13.536000000000001</v>
      </c>
      <c r="I307" s="18"/>
      <c r="J307" s="18"/>
      <c r="K307" s="18"/>
      <c r="L307" s="31"/>
    </row>
    <row r="308" spans="1:12" s="16" customFormat="1">
      <c r="A308" s="11"/>
      <c r="B308" s="20" t="s">
        <v>19</v>
      </c>
      <c r="C308" s="18"/>
      <c r="D308" s="18"/>
      <c r="E308" s="18"/>
      <c r="F308" s="18"/>
      <c r="G308" s="18">
        <f t="shared" si="100"/>
        <v>0</v>
      </c>
      <c r="H308" s="18">
        <f t="shared" si="101"/>
        <v>0</v>
      </c>
      <c r="I308" s="18"/>
      <c r="J308" s="18"/>
      <c r="K308" s="18"/>
      <c r="L308" s="31"/>
    </row>
    <row r="309" spans="1:12" s="16" customFormat="1">
      <c r="A309" s="11" t="s">
        <v>13</v>
      </c>
      <c r="B309" s="20" t="s">
        <v>20</v>
      </c>
      <c r="C309" s="18"/>
      <c r="D309" s="18"/>
      <c r="E309" s="18"/>
      <c r="F309" s="18"/>
      <c r="G309" s="18">
        <f t="shared" si="100"/>
        <v>0</v>
      </c>
      <c r="H309" s="18">
        <f t="shared" si="101"/>
        <v>0</v>
      </c>
      <c r="I309" s="18"/>
      <c r="J309" s="18"/>
      <c r="K309" s="18"/>
      <c r="L309" s="31"/>
    </row>
    <row r="310" spans="1:12" s="16" customFormat="1">
      <c r="A310" s="11" t="s">
        <v>13</v>
      </c>
      <c r="B310" s="20" t="s">
        <v>21</v>
      </c>
      <c r="C310" s="18"/>
      <c r="D310" s="18"/>
      <c r="E310" s="18"/>
      <c r="F310" s="18"/>
      <c r="G310" s="18">
        <f t="shared" si="100"/>
        <v>0</v>
      </c>
      <c r="H310" s="18">
        <f t="shared" si="101"/>
        <v>0</v>
      </c>
      <c r="I310" s="18"/>
      <c r="J310" s="18"/>
      <c r="K310" s="18"/>
      <c r="L310" s="32"/>
    </row>
    <row r="311" spans="1:12" s="16" customFormat="1">
      <c r="A311" s="11" t="s">
        <v>13</v>
      </c>
      <c r="B311" s="20" t="s">
        <v>22</v>
      </c>
      <c r="C311" s="18">
        <v>1</v>
      </c>
      <c r="D311" s="18"/>
      <c r="E311" s="18"/>
      <c r="F311" s="18"/>
      <c r="G311" s="18">
        <f t="shared" si="100"/>
        <v>1</v>
      </c>
      <c r="H311" s="18">
        <f t="shared" si="101"/>
        <v>0</v>
      </c>
      <c r="I311" s="18"/>
      <c r="J311" s="18"/>
      <c r="K311" s="18"/>
      <c r="L311" s="19"/>
    </row>
    <row r="312" spans="1:12" s="16" customFormat="1">
      <c r="A312" s="11" t="s">
        <v>13</v>
      </c>
      <c r="B312" s="17" t="s">
        <v>23</v>
      </c>
      <c r="C312" s="25">
        <f>66+4.8</f>
        <v>70.8</v>
      </c>
      <c r="D312" s="25"/>
      <c r="E312" s="25"/>
      <c r="F312" s="25"/>
      <c r="G312" s="25">
        <f t="shared" si="100"/>
        <v>70.8</v>
      </c>
      <c r="H312" s="25">
        <f t="shared" si="101"/>
        <v>0</v>
      </c>
      <c r="I312" s="25"/>
      <c r="J312" s="25"/>
      <c r="K312" s="25"/>
      <c r="L312" s="19"/>
    </row>
    <row r="313" spans="1:12" s="16" customFormat="1">
      <c r="A313" s="11" t="s">
        <v>99</v>
      </c>
      <c r="B313" s="12" t="s">
        <v>100</v>
      </c>
      <c r="C313" s="13">
        <f t="shared" ref="C313:H313" si="102">C316+C323</f>
        <v>663.6</v>
      </c>
      <c r="D313" s="13">
        <f t="shared" si="102"/>
        <v>0</v>
      </c>
      <c r="E313" s="13">
        <f t="shared" si="102"/>
        <v>0</v>
      </c>
      <c r="F313" s="13">
        <f t="shared" si="102"/>
        <v>106.30300000000001</v>
      </c>
      <c r="G313" s="21">
        <f t="shared" si="102"/>
        <v>557.29700000000003</v>
      </c>
      <c r="H313" s="21">
        <f t="shared" si="102"/>
        <v>-106.30300000000001</v>
      </c>
      <c r="I313" s="21">
        <v>700</v>
      </c>
      <c r="J313" s="21">
        <v>700</v>
      </c>
      <c r="K313" s="21">
        <v>700</v>
      </c>
      <c r="L313" s="19"/>
    </row>
    <row r="314" spans="1:12" s="16" customFormat="1">
      <c r="A314" s="11" t="s">
        <v>13</v>
      </c>
      <c r="B314" s="17" t="s">
        <v>14</v>
      </c>
      <c r="C314" s="18">
        <v>58</v>
      </c>
      <c r="D314" s="18"/>
      <c r="E314" s="18"/>
      <c r="F314" s="18"/>
      <c r="G314" s="18">
        <f>C314+D314-E314-F314</f>
        <v>58</v>
      </c>
      <c r="H314" s="18">
        <f>G314-C314</f>
        <v>0</v>
      </c>
      <c r="I314" s="18">
        <v>57</v>
      </c>
      <c r="J314" s="18">
        <v>57</v>
      </c>
      <c r="K314" s="18">
        <v>57</v>
      </c>
      <c r="L314" s="19"/>
    </row>
    <row r="315" spans="1:12" s="16" customFormat="1">
      <c r="A315" s="11" t="s">
        <v>13</v>
      </c>
      <c r="B315" s="17" t="s">
        <v>15</v>
      </c>
      <c r="C315" s="18">
        <v>4</v>
      </c>
      <c r="D315" s="18"/>
      <c r="E315" s="18"/>
      <c r="F315" s="18"/>
      <c r="G315" s="18">
        <f>C315+D315-E315-F315</f>
        <v>4</v>
      </c>
      <c r="H315" s="18">
        <f>G315-C315</f>
        <v>0</v>
      </c>
      <c r="I315" s="18"/>
      <c r="J315" s="18"/>
      <c r="K315" s="18"/>
      <c r="L315" s="19"/>
    </row>
    <row r="316" spans="1:12" s="16" customFormat="1">
      <c r="A316" s="11" t="s">
        <v>13</v>
      </c>
      <c r="B316" s="17" t="s">
        <v>16</v>
      </c>
      <c r="C316" s="18">
        <f t="shared" ref="C316:K316" si="103">C317+C318+C319+C320+C321+C322</f>
        <v>650.9</v>
      </c>
      <c r="D316" s="18">
        <f t="shared" si="103"/>
        <v>0</v>
      </c>
      <c r="E316" s="18">
        <f t="shared" si="103"/>
        <v>0</v>
      </c>
      <c r="F316" s="18">
        <f t="shared" si="103"/>
        <v>106.30300000000001</v>
      </c>
      <c r="G316" s="18">
        <f t="shared" si="103"/>
        <v>544.59699999999998</v>
      </c>
      <c r="H316" s="18">
        <f t="shared" si="103"/>
        <v>-106.30300000000001</v>
      </c>
      <c r="I316" s="18">
        <f t="shared" si="103"/>
        <v>0</v>
      </c>
      <c r="J316" s="18">
        <f t="shared" si="103"/>
        <v>0</v>
      </c>
      <c r="K316" s="18">
        <f t="shared" si="103"/>
        <v>0</v>
      </c>
      <c r="L316" s="19"/>
    </row>
    <row r="317" spans="1:12" s="16" customFormat="1">
      <c r="A317" s="11" t="s">
        <v>13</v>
      </c>
      <c r="B317" s="20" t="s">
        <v>17</v>
      </c>
      <c r="C317" s="18">
        <v>564.6</v>
      </c>
      <c r="D317" s="18"/>
      <c r="E317" s="18"/>
      <c r="F317" s="18">
        <f>46.691+46.061</f>
        <v>92.75200000000001</v>
      </c>
      <c r="G317" s="18">
        <f t="shared" ref="G317:G323" si="104">C317+D317-E317-F317</f>
        <v>471.84800000000001</v>
      </c>
      <c r="H317" s="18">
        <f t="shared" ref="H317:H323" si="105">G317-C317</f>
        <v>-92.75200000000001</v>
      </c>
      <c r="I317" s="18"/>
      <c r="J317" s="18"/>
      <c r="K317" s="18"/>
      <c r="L317" s="30" t="s">
        <v>101</v>
      </c>
    </row>
    <row r="318" spans="1:12" s="16" customFormat="1">
      <c r="A318" s="11" t="s">
        <v>13</v>
      </c>
      <c r="B318" s="20" t="s">
        <v>18</v>
      </c>
      <c r="C318" s="18">
        <v>85.3</v>
      </c>
      <c r="D318" s="18"/>
      <c r="E318" s="18"/>
      <c r="F318" s="18">
        <f>6.721+4.03+2.8</f>
        <v>13.551000000000002</v>
      </c>
      <c r="G318" s="18">
        <f t="shared" si="104"/>
        <v>71.748999999999995</v>
      </c>
      <c r="H318" s="18">
        <f t="shared" si="105"/>
        <v>-13.551000000000002</v>
      </c>
      <c r="I318" s="18"/>
      <c r="J318" s="18"/>
      <c r="K318" s="18"/>
      <c r="L318" s="31"/>
    </row>
    <row r="319" spans="1:12" s="16" customFormat="1">
      <c r="A319" s="11"/>
      <c r="B319" s="20" t="s">
        <v>19</v>
      </c>
      <c r="C319" s="18"/>
      <c r="D319" s="18"/>
      <c r="E319" s="18"/>
      <c r="F319" s="18"/>
      <c r="G319" s="18">
        <f t="shared" si="104"/>
        <v>0</v>
      </c>
      <c r="H319" s="18">
        <f t="shared" si="105"/>
        <v>0</v>
      </c>
      <c r="I319" s="18"/>
      <c r="J319" s="18"/>
      <c r="K319" s="18"/>
      <c r="L319" s="31"/>
    </row>
    <row r="320" spans="1:12" s="16" customFormat="1">
      <c r="A320" s="11" t="s">
        <v>13</v>
      </c>
      <c r="B320" s="20" t="s">
        <v>20</v>
      </c>
      <c r="C320" s="18"/>
      <c r="D320" s="18"/>
      <c r="E320" s="18"/>
      <c r="F320" s="18"/>
      <c r="G320" s="18">
        <f t="shared" si="104"/>
        <v>0</v>
      </c>
      <c r="H320" s="18">
        <f t="shared" si="105"/>
        <v>0</v>
      </c>
      <c r="I320" s="18"/>
      <c r="J320" s="18"/>
      <c r="K320" s="18"/>
      <c r="L320" s="31"/>
    </row>
    <row r="321" spans="1:12" s="16" customFormat="1">
      <c r="A321" s="11" t="s">
        <v>13</v>
      </c>
      <c r="B321" s="20" t="s">
        <v>21</v>
      </c>
      <c r="C321" s="18"/>
      <c r="D321" s="18"/>
      <c r="E321" s="18"/>
      <c r="F321" s="18"/>
      <c r="G321" s="18">
        <f t="shared" si="104"/>
        <v>0</v>
      </c>
      <c r="H321" s="18">
        <f t="shared" si="105"/>
        <v>0</v>
      </c>
      <c r="I321" s="18"/>
      <c r="J321" s="18"/>
      <c r="K321" s="18"/>
      <c r="L321" s="32"/>
    </row>
    <row r="322" spans="1:12" s="16" customFormat="1">
      <c r="A322" s="11" t="s">
        <v>13</v>
      </c>
      <c r="B322" s="20" t="s">
        <v>22</v>
      </c>
      <c r="C322" s="18">
        <v>1</v>
      </c>
      <c r="D322" s="18"/>
      <c r="E322" s="18"/>
      <c r="F322" s="18"/>
      <c r="G322" s="18">
        <f t="shared" si="104"/>
        <v>1</v>
      </c>
      <c r="H322" s="18">
        <f t="shared" si="105"/>
        <v>0</v>
      </c>
      <c r="I322" s="18"/>
      <c r="J322" s="18"/>
      <c r="K322" s="18"/>
      <c r="L322" s="19"/>
    </row>
    <row r="323" spans="1:12" s="16" customFormat="1">
      <c r="A323" s="11" t="s">
        <v>13</v>
      </c>
      <c r="B323" s="17" t="s">
        <v>23</v>
      </c>
      <c r="C323" s="25">
        <v>12.7</v>
      </c>
      <c r="D323" s="25"/>
      <c r="E323" s="25"/>
      <c r="F323" s="25"/>
      <c r="G323" s="25">
        <f t="shared" si="104"/>
        <v>12.7</v>
      </c>
      <c r="H323" s="25">
        <f t="shared" si="105"/>
        <v>0</v>
      </c>
      <c r="I323" s="25"/>
      <c r="J323" s="25"/>
      <c r="K323" s="25"/>
      <c r="L323" s="19"/>
    </row>
    <row r="324" spans="1:12" s="16" customFormat="1">
      <c r="A324" s="11" t="s">
        <v>102</v>
      </c>
      <c r="B324" s="12" t="s">
        <v>103</v>
      </c>
      <c r="C324" s="13">
        <f t="shared" ref="C324:H324" si="106">C327+C334</f>
        <v>685.4</v>
      </c>
      <c r="D324" s="13">
        <f t="shared" si="106"/>
        <v>0</v>
      </c>
      <c r="E324" s="13">
        <f t="shared" si="106"/>
        <v>0</v>
      </c>
      <c r="F324" s="13">
        <f t="shared" si="106"/>
        <v>98.9</v>
      </c>
      <c r="G324" s="21">
        <f t="shared" si="106"/>
        <v>586.5</v>
      </c>
      <c r="H324" s="21">
        <f t="shared" si="106"/>
        <v>-98.899999999999977</v>
      </c>
      <c r="I324" s="21">
        <v>720</v>
      </c>
      <c r="J324" s="21">
        <v>720</v>
      </c>
      <c r="K324" s="21">
        <v>720</v>
      </c>
      <c r="L324" s="19"/>
    </row>
    <row r="325" spans="1:12" s="16" customFormat="1">
      <c r="A325" s="11" t="s">
        <v>13</v>
      </c>
      <c r="B325" s="17" t="s">
        <v>14</v>
      </c>
      <c r="C325" s="18">
        <v>55</v>
      </c>
      <c r="D325" s="18"/>
      <c r="E325" s="18"/>
      <c r="F325" s="18"/>
      <c r="G325" s="18">
        <f>C325+D325-E325-F325</f>
        <v>55</v>
      </c>
      <c r="H325" s="18">
        <f>G325-C325</f>
        <v>0</v>
      </c>
      <c r="I325" s="18">
        <v>55</v>
      </c>
      <c r="J325" s="18">
        <v>55</v>
      </c>
      <c r="K325" s="18">
        <v>55</v>
      </c>
      <c r="L325" s="19"/>
    </row>
    <row r="326" spans="1:12" s="16" customFormat="1">
      <c r="A326" s="11" t="s">
        <v>13</v>
      </c>
      <c r="B326" s="17" t="s">
        <v>15</v>
      </c>
      <c r="C326" s="18">
        <v>4</v>
      </c>
      <c r="D326" s="18"/>
      <c r="E326" s="18"/>
      <c r="F326" s="18"/>
      <c r="G326" s="18">
        <f>C326+D326-E326-F326</f>
        <v>4</v>
      </c>
      <c r="H326" s="18">
        <f>G326-C326</f>
        <v>0</v>
      </c>
      <c r="I326" s="18"/>
      <c r="J326" s="18"/>
      <c r="K326" s="18"/>
      <c r="L326" s="19"/>
    </row>
    <row r="327" spans="1:12" s="16" customFormat="1">
      <c r="A327" s="11" t="s">
        <v>13</v>
      </c>
      <c r="B327" s="17" t="s">
        <v>16</v>
      </c>
      <c r="C327" s="18">
        <f t="shared" ref="C327:K327" si="107">C328+C329+C330+C331+C332+C333</f>
        <v>671.4</v>
      </c>
      <c r="D327" s="18">
        <f t="shared" si="107"/>
        <v>0</v>
      </c>
      <c r="E327" s="18">
        <f t="shared" si="107"/>
        <v>0</v>
      </c>
      <c r="F327" s="18">
        <f t="shared" si="107"/>
        <v>98.9</v>
      </c>
      <c r="G327" s="18">
        <f t="shared" si="107"/>
        <v>572.5</v>
      </c>
      <c r="H327" s="18">
        <f t="shared" si="107"/>
        <v>-98.899999999999977</v>
      </c>
      <c r="I327" s="18">
        <f t="shared" si="107"/>
        <v>0</v>
      </c>
      <c r="J327" s="18">
        <f t="shared" si="107"/>
        <v>0</v>
      </c>
      <c r="K327" s="18">
        <f t="shared" si="107"/>
        <v>0</v>
      </c>
      <c r="L327" s="19"/>
    </row>
    <row r="328" spans="1:12" s="16" customFormat="1">
      <c r="A328" s="11" t="s">
        <v>13</v>
      </c>
      <c r="B328" s="20" t="s">
        <v>17</v>
      </c>
      <c r="C328" s="18">
        <v>526.5</v>
      </c>
      <c r="D328" s="18"/>
      <c r="E328" s="18"/>
      <c r="F328" s="18">
        <f>41.775+43.875</f>
        <v>85.65</v>
      </c>
      <c r="G328" s="18">
        <f t="shared" ref="G328:G334" si="108">C328+D328-E328-F328</f>
        <v>440.85</v>
      </c>
      <c r="H328" s="18">
        <f t="shared" ref="H328:H334" si="109">G328-C328</f>
        <v>-85.649999999999977</v>
      </c>
      <c r="I328" s="18"/>
      <c r="J328" s="18"/>
      <c r="K328" s="18"/>
      <c r="L328" s="30" t="s">
        <v>104</v>
      </c>
    </row>
    <row r="329" spans="1:12" s="16" customFormat="1">
      <c r="A329" s="11" t="s">
        <v>13</v>
      </c>
      <c r="B329" s="20" t="s">
        <v>18</v>
      </c>
      <c r="C329" s="18">
        <v>138.9</v>
      </c>
      <c r="D329" s="18"/>
      <c r="E329" s="18"/>
      <c r="F329" s="18">
        <f>6.87+6.38</f>
        <v>13.25</v>
      </c>
      <c r="G329" s="18">
        <f t="shared" si="108"/>
        <v>125.65</v>
      </c>
      <c r="H329" s="18">
        <f t="shared" si="109"/>
        <v>-13.25</v>
      </c>
      <c r="I329" s="18"/>
      <c r="J329" s="18"/>
      <c r="K329" s="18"/>
      <c r="L329" s="31"/>
    </row>
    <row r="330" spans="1:12" s="16" customFormat="1">
      <c r="A330" s="11"/>
      <c r="B330" s="20" t="s">
        <v>19</v>
      </c>
      <c r="C330" s="18"/>
      <c r="D330" s="18"/>
      <c r="E330" s="18"/>
      <c r="F330" s="18"/>
      <c r="G330" s="18">
        <f t="shared" si="108"/>
        <v>0</v>
      </c>
      <c r="H330" s="18">
        <f t="shared" si="109"/>
        <v>0</v>
      </c>
      <c r="I330" s="18"/>
      <c r="J330" s="18"/>
      <c r="K330" s="18"/>
      <c r="L330" s="31"/>
    </row>
    <row r="331" spans="1:12" s="16" customFormat="1">
      <c r="A331" s="11" t="s">
        <v>13</v>
      </c>
      <c r="B331" s="20" t="s">
        <v>20</v>
      </c>
      <c r="C331" s="18"/>
      <c r="D331" s="18"/>
      <c r="E331" s="18"/>
      <c r="F331" s="18"/>
      <c r="G331" s="18">
        <f t="shared" si="108"/>
        <v>0</v>
      </c>
      <c r="H331" s="18">
        <f t="shared" si="109"/>
        <v>0</v>
      </c>
      <c r="I331" s="18"/>
      <c r="J331" s="18"/>
      <c r="K331" s="18"/>
      <c r="L331" s="31"/>
    </row>
    <row r="332" spans="1:12" s="16" customFormat="1">
      <c r="A332" s="11" t="s">
        <v>13</v>
      </c>
      <c r="B332" s="20" t="s">
        <v>21</v>
      </c>
      <c r="C332" s="18"/>
      <c r="D332" s="18"/>
      <c r="E332" s="18"/>
      <c r="F332" s="18"/>
      <c r="G332" s="18">
        <f t="shared" si="108"/>
        <v>0</v>
      </c>
      <c r="H332" s="18">
        <f t="shared" si="109"/>
        <v>0</v>
      </c>
      <c r="I332" s="18"/>
      <c r="J332" s="18"/>
      <c r="K332" s="18"/>
      <c r="L332" s="32"/>
    </row>
    <row r="333" spans="1:12" s="16" customFormat="1">
      <c r="A333" s="11" t="s">
        <v>13</v>
      </c>
      <c r="B333" s="20" t="s">
        <v>22</v>
      </c>
      <c r="C333" s="18">
        <v>6</v>
      </c>
      <c r="D333" s="18"/>
      <c r="E333" s="18"/>
      <c r="F333" s="18"/>
      <c r="G333" s="18">
        <f t="shared" si="108"/>
        <v>6</v>
      </c>
      <c r="H333" s="18">
        <f t="shared" si="109"/>
        <v>0</v>
      </c>
      <c r="I333" s="18"/>
      <c r="J333" s="18"/>
      <c r="K333" s="18"/>
      <c r="L333" s="19"/>
    </row>
    <row r="334" spans="1:12" s="16" customFormat="1">
      <c r="A334" s="11" t="s">
        <v>13</v>
      </c>
      <c r="B334" s="17" t="s">
        <v>23</v>
      </c>
      <c r="C334" s="18">
        <v>14</v>
      </c>
      <c r="D334" s="18"/>
      <c r="E334" s="18"/>
      <c r="F334" s="18"/>
      <c r="G334" s="18">
        <f t="shared" si="108"/>
        <v>14</v>
      </c>
      <c r="H334" s="18">
        <f t="shared" si="109"/>
        <v>0</v>
      </c>
      <c r="I334" s="29"/>
      <c r="J334" s="29"/>
      <c r="K334" s="29"/>
      <c r="L334" s="19"/>
    </row>
    <row r="335" spans="1:12">
      <c r="C335" s="9"/>
      <c r="D335" s="9"/>
      <c r="E335" s="9"/>
      <c r="F335" s="9"/>
      <c r="G335" s="9"/>
      <c r="H335" s="9"/>
      <c r="I335" s="9"/>
      <c r="J335" s="9"/>
      <c r="K335" s="9"/>
    </row>
    <row r="336" spans="1:12">
      <c r="C336" s="9"/>
      <c r="D336" s="9"/>
      <c r="E336" s="9"/>
      <c r="F336" s="9"/>
      <c r="G336" s="9"/>
      <c r="H336" s="9"/>
      <c r="I336" s="9"/>
      <c r="J336" s="9"/>
      <c r="K336" s="9"/>
    </row>
  </sheetData>
  <mergeCells count="18">
    <mergeCell ref="L185:L189"/>
    <mergeCell ref="A1:L1"/>
    <mergeCell ref="L108:L112"/>
    <mergeCell ref="L141:L145"/>
    <mergeCell ref="L150:L156"/>
    <mergeCell ref="L174:L178"/>
    <mergeCell ref="L328:L332"/>
    <mergeCell ref="L196:L200"/>
    <mergeCell ref="L207:L211"/>
    <mergeCell ref="L218:L222"/>
    <mergeCell ref="L229:L233"/>
    <mergeCell ref="L240:L244"/>
    <mergeCell ref="L260:L264"/>
    <mergeCell ref="L272:L276"/>
    <mergeCell ref="L284:L288"/>
    <mergeCell ref="L295:L299"/>
    <mergeCell ref="L306:L310"/>
    <mergeCell ref="L317:L321"/>
  </mergeCells>
  <pageMargins left="0" right="0" top="0.75" bottom="0.25" header="0.05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წლის კულტურა (2)</vt:lpstr>
      <vt:lpstr>'2025 წლის კულტურა (2)'!Заголовки_для_печати</vt:lpstr>
      <vt:lpstr>'2025 წლის კულტურა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natia</cp:lastModifiedBy>
  <cp:lastPrinted>2025-05-15T08:39:07Z</cp:lastPrinted>
  <dcterms:created xsi:type="dcterms:W3CDTF">2015-06-05T18:17:20Z</dcterms:created>
  <dcterms:modified xsi:type="dcterms:W3CDTF">2025-05-27T06:43:52Z</dcterms:modified>
</cp:coreProperties>
</file>