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2A66390-8DD1-43C9-9885-D9B173AE5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Sheet1!$A$137:$O$137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3" i="1" l="1"/>
  <c r="K224" i="1"/>
  <c r="D241" i="1"/>
  <c r="D222" i="1" l="1"/>
  <c r="E5" i="1" s="1"/>
  <c r="D242" i="1"/>
  <c r="H167" i="1"/>
  <c r="D150" i="1"/>
  <c r="D156" i="1"/>
  <c r="D129" i="1"/>
  <c r="D137" i="1"/>
  <c r="D119" i="1"/>
  <c r="D127" i="1"/>
  <c r="D97" i="1" l="1"/>
  <c r="D82" i="1"/>
  <c r="D76" i="1"/>
  <c r="D79" i="1"/>
  <c r="D78" i="1"/>
  <c r="D32" i="1"/>
  <c r="D35" i="1"/>
  <c r="D33" i="1"/>
  <c r="I205" i="1"/>
  <c r="I204" i="1"/>
  <c r="D203" i="1"/>
  <c r="H251" i="1"/>
  <c r="H45" i="1"/>
  <c r="I164" i="1"/>
  <c r="H242" i="1"/>
  <c r="H85" i="1"/>
  <c r="H84" i="1"/>
  <c r="H82" i="1"/>
  <c r="H119" i="1"/>
  <c r="H107" i="1"/>
  <c r="H63" i="1"/>
  <c r="H35" i="1"/>
  <c r="H33" i="1"/>
  <c r="I131" i="1"/>
  <c r="D247" i="1"/>
  <c r="D249" i="1"/>
  <c r="D248" i="1"/>
  <c r="D245" i="1"/>
  <c r="D95" i="1"/>
  <c r="D86" i="1"/>
  <c r="D49" i="1"/>
  <c r="D46" i="1"/>
  <c r="D18" i="1"/>
  <c r="D20" i="1"/>
  <c r="D169" i="1"/>
  <c r="D171" i="1"/>
  <c r="H95" i="1"/>
  <c r="H158" i="1"/>
  <c r="H234" i="1"/>
  <c r="H49" i="1"/>
  <c r="H47" i="1"/>
  <c r="H161" i="1"/>
  <c r="H258" i="1"/>
  <c r="H170" i="1"/>
  <c r="H259" i="1"/>
  <c r="H247" i="1"/>
  <c r="H159" i="1"/>
  <c r="D234" i="1" l="1"/>
  <c r="D236" i="1"/>
  <c r="D259" i="1"/>
  <c r="I138" i="1"/>
  <c r="D48" i="1"/>
  <c r="D45" i="1"/>
  <c r="D68" i="1"/>
  <c r="I210" i="1"/>
  <c r="D211" i="1"/>
  <c r="D207" i="1" s="1"/>
  <c r="I209" i="1" l="1"/>
  <c r="H51" i="1"/>
  <c r="D51" i="1"/>
  <c r="D60" i="1"/>
  <c r="D59" i="1"/>
  <c r="D155" i="1"/>
  <c r="I153" i="1"/>
  <c r="D250" i="1" l="1"/>
  <c r="I250" i="1" s="1"/>
  <c r="D43" i="1" l="1"/>
  <c r="D263" i="1"/>
  <c r="D191" i="1"/>
  <c r="I213" i="1"/>
  <c r="D214" i="1" l="1"/>
  <c r="I214" i="1" s="1"/>
  <c r="D212" i="1" l="1"/>
  <c r="I212" i="1" s="1"/>
  <c r="D244" i="1" l="1"/>
  <c r="D123" i="1"/>
  <c r="D122" i="1"/>
  <c r="D98" i="1"/>
  <c r="D26" i="1"/>
  <c r="H26" i="1"/>
  <c r="H123" i="1"/>
  <c r="H201" i="1"/>
  <c r="H34" i="1"/>
  <c r="H155" i="1"/>
  <c r="H245" i="1"/>
  <c r="D66" i="1"/>
  <c r="I26" i="1" l="1"/>
  <c r="I23" i="1"/>
  <c r="D80" i="1"/>
  <c r="D100" i="1"/>
  <c r="D105" i="1"/>
  <c r="D140" i="1"/>
  <c r="I233" i="1" l="1"/>
  <c r="D10" i="1"/>
  <c r="I51" i="1" l="1"/>
  <c r="I170" i="1" l="1"/>
  <c r="I199" i="1" l="1"/>
  <c r="I175" i="1"/>
  <c r="I174" i="1"/>
  <c r="H165" i="1" l="1"/>
  <c r="H106" i="1"/>
  <c r="D261" i="1"/>
  <c r="D237" i="1"/>
  <c r="D215" i="1"/>
  <c r="D195" i="1"/>
  <c r="I181" i="1" l="1"/>
  <c r="I183" i="1"/>
  <c r="I184" i="1"/>
  <c r="I185" i="1"/>
  <c r="I186" i="1"/>
  <c r="I187" i="1"/>
  <c r="I179" i="1"/>
  <c r="H157" i="1"/>
  <c r="H39" i="1"/>
  <c r="H11" i="1"/>
  <c r="H89" i="1"/>
  <c r="H152" i="1"/>
  <c r="H162" i="1"/>
  <c r="H115" i="1"/>
  <c r="I172" i="1"/>
  <c r="H173" i="1"/>
  <c r="I173" i="1" s="1"/>
  <c r="H44" i="1"/>
  <c r="I218" i="1"/>
  <c r="I42" i="1"/>
  <c r="H202" i="1" l="1"/>
  <c r="I107" i="1"/>
  <c r="I123" i="1"/>
  <c r="H72" i="1"/>
  <c r="I72" i="1" s="1"/>
  <c r="H21" i="1"/>
  <c r="I21" i="1" s="1"/>
  <c r="I234" i="1"/>
  <c r="I155" i="1"/>
  <c r="H77" i="1"/>
  <c r="I77" i="1" s="1"/>
  <c r="I165" i="1"/>
  <c r="H197" i="1"/>
  <c r="I197" i="1" s="1"/>
  <c r="H160" i="1"/>
  <c r="I160" i="1" s="1"/>
  <c r="H27" i="1"/>
  <c r="I27" i="1" s="1"/>
  <c r="I159" i="1"/>
  <c r="I161" i="1"/>
  <c r="H125" i="1"/>
  <c r="I125" i="1" s="1"/>
  <c r="H58" i="1"/>
  <c r="I58" i="1" s="1"/>
  <c r="H56" i="1"/>
  <c r="I56" i="1" s="1"/>
  <c r="H196" i="1"/>
  <c r="I196" i="1" s="1"/>
  <c r="H139" i="1"/>
  <c r="I139" i="1" s="1"/>
  <c r="H94" i="1"/>
  <c r="I94" i="1" s="1"/>
  <c r="H121" i="1"/>
  <c r="I121" i="1" s="1"/>
  <c r="H71" i="1"/>
  <c r="I71" i="1" s="1"/>
  <c r="H78" i="1"/>
  <c r="I78" i="1" s="1"/>
  <c r="H176" i="1"/>
  <c r="I176" i="1" s="1"/>
  <c r="H198" i="1"/>
  <c r="I198" i="1" s="1"/>
  <c r="H29" i="1"/>
  <c r="I29" i="1" s="1"/>
  <c r="I95" i="1"/>
  <c r="H192" i="1"/>
  <c r="I192" i="1" s="1"/>
  <c r="H188" i="1"/>
  <c r="I188" i="1" s="1"/>
  <c r="H191" i="1"/>
  <c r="H69" i="1"/>
  <c r="I69" i="1" s="1"/>
  <c r="H141" i="1"/>
  <c r="I141" i="1" s="1"/>
  <c r="I12" i="1"/>
  <c r="I13" i="1"/>
  <c r="I14" i="1"/>
  <c r="I15" i="1"/>
  <c r="I16" i="1"/>
  <c r="I17" i="1"/>
  <c r="I18" i="1"/>
  <c r="I19" i="1"/>
  <c r="I20" i="1"/>
  <c r="I22" i="1"/>
  <c r="I24" i="1"/>
  <c r="I25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2" i="1"/>
  <c r="I53" i="1"/>
  <c r="I54" i="1"/>
  <c r="I55" i="1"/>
  <c r="I57" i="1"/>
  <c r="I59" i="1"/>
  <c r="I60" i="1"/>
  <c r="I61" i="1"/>
  <c r="I62" i="1"/>
  <c r="I63" i="1"/>
  <c r="I64" i="1"/>
  <c r="I65" i="1"/>
  <c r="I66" i="1"/>
  <c r="I67" i="1"/>
  <c r="I68" i="1"/>
  <c r="I70" i="1"/>
  <c r="I73" i="1"/>
  <c r="I74" i="1"/>
  <c r="I75" i="1"/>
  <c r="I76" i="1"/>
  <c r="I79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6" i="1"/>
  <c r="I97" i="1"/>
  <c r="I98" i="1"/>
  <c r="I99" i="1"/>
  <c r="I101" i="1"/>
  <c r="I102" i="1"/>
  <c r="I103" i="1"/>
  <c r="I104" i="1"/>
  <c r="I11" i="1"/>
  <c r="I106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2" i="1"/>
  <c r="I124" i="1"/>
  <c r="I126" i="1"/>
  <c r="I127" i="1"/>
  <c r="I128" i="1"/>
  <c r="I130" i="1"/>
  <c r="I132" i="1"/>
  <c r="I133" i="1"/>
  <c r="I134" i="1"/>
  <c r="I135" i="1"/>
  <c r="I137" i="1"/>
  <c r="I142" i="1"/>
  <c r="I144" i="1"/>
  <c r="I147" i="1"/>
  <c r="I152" i="1"/>
  <c r="I154" i="1"/>
  <c r="I157" i="1"/>
  <c r="I158" i="1"/>
  <c r="I162" i="1"/>
  <c r="I163" i="1"/>
  <c r="I166" i="1"/>
  <c r="I167" i="1"/>
  <c r="I169" i="1"/>
  <c r="I171" i="1"/>
  <c r="I177" i="1"/>
  <c r="I178" i="1"/>
  <c r="I189" i="1"/>
  <c r="I200" i="1"/>
  <c r="I201" i="1"/>
  <c r="I202" i="1"/>
  <c r="I208" i="1"/>
  <c r="I216" i="1"/>
  <c r="I217" i="1"/>
  <c r="I220" i="1"/>
  <c r="I221" i="1"/>
  <c r="I225" i="1"/>
  <c r="I226" i="1"/>
  <c r="I227" i="1"/>
  <c r="I228" i="1"/>
  <c r="I229" i="1"/>
  <c r="I231" i="1"/>
  <c r="I232" i="1"/>
  <c r="I235" i="1"/>
  <c r="I236" i="1"/>
  <c r="I238" i="1"/>
  <c r="I239" i="1"/>
  <c r="I240" i="1"/>
  <c r="I242" i="1"/>
  <c r="I243" i="1"/>
  <c r="I244" i="1"/>
  <c r="I245" i="1"/>
  <c r="I246" i="1"/>
  <c r="I247" i="1"/>
  <c r="I248" i="1"/>
  <c r="I249" i="1"/>
  <c r="I252" i="1"/>
  <c r="I254" i="1"/>
  <c r="I255" i="1"/>
  <c r="I256" i="1"/>
  <c r="I257" i="1"/>
  <c r="I258" i="1"/>
  <c r="I260" i="1"/>
  <c r="I262" i="1"/>
  <c r="I263" i="1"/>
  <c r="I264" i="1"/>
  <c r="I265" i="1"/>
  <c r="D190" i="1" l="1"/>
  <c r="D145" i="1"/>
  <c r="D146" i="1"/>
  <c r="I146" i="1" s="1"/>
  <c r="D136" i="1"/>
  <c r="D143" i="1" l="1"/>
  <c r="D9" i="1" s="1"/>
  <c r="I211" i="1"/>
  <c r="I145" i="1"/>
  <c r="I136" i="1"/>
  <c r="I191" i="1"/>
  <c r="I156" i="1"/>
  <c r="I251" i="1"/>
  <c r="D253" i="1" l="1"/>
  <c r="D230" i="1"/>
  <c r="D224" i="1" s="1"/>
  <c r="D182" i="1"/>
  <c r="D168" i="1" s="1"/>
  <c r="I230" i="1" l="1"/>
  <c r="D148" i="1"/>
  <c r="I182" i="1"/>
  <c r="I259" i="1"/>
  <c r="D219" i="1"/>
</calcChain>
</file>

<file path=xl/sharedStrings.xml><?xml version="1.0" encoding="utf-8"?>
<sst xmlns="http://schemas.openxmlformats.org/spreadsheetml/2006/main" count="933" uniqueCount="265">
  <si>
    <t>2. შემსყიდველი ორგანიზაციის სადენტიფიკაციო კოდი: 245427667</t>
  </si>
  <si>
    <t>3. შემსყიდველი ორგანიზაციის დასახელება: აჭარის ავტონომიური რესპუბლიკის განათლების, კულტურისა და სპორტის სამინისტრო</t>
  </si>
  <si>
    <t>5. სახელმწიფო შესყიდვები გეგმით გათვალისწინებული ჯამური თანხა (ლარი) დაფინანსების წყაროს შესაბამისად:</t>
  </si>
  <si>
    <t>N</t>
  </si>
  <si>
    <t>დანაყოფის 
კოდი</t>
  </si>
  <si>
    <t>დანაყოფის დასახელება</t>
  </si>
  <si>
    <t>სავარაუდო 
ღირებულება</t>
  </si>
  <si>
    <t>შესყიდვის საშუალება</t>
  </si>
  <si>
    <t>შესყიდვის 
ვადები (კვარტალი)</t>
  </si>
  <si>
    <t>აპარატი</t>
  </si>
  <si>
    <t>ოფისის ხარჯები</t>
  </si>
  <si>
    <t>სამუშაო ტანსაცმელი, სპეცტანსაცმელი 
და აქსესუარები</t>
  </si>
  <si>
    <t>გ.შ.</t>
  </si>
  <si>
    <t>I-IV</t>
  </si>
  <si>
    <t>სამკაულები, საათები და მონათესავე 
ნივთები</t>
  </si>
  <si>
    <t>ტექსტილის ნართი და ძაფი</t>
  </si>
  <si>
    <t>ტყავის, ტექსტილის, რეზინისა და პლასტმასის ნარჩენი</t>
  </si>
  <si>
    <t>გაზეთები, სამეცნიერო ჟურნალები, 
პერიოდიკა და ჟურნალები</t>
  </si>
  <si>
    <t>ღია ბარათები, მისალოცი ბარათები და სხვა ნაბეჭდი მასალა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</si>
  <si>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</si>
  <si>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ქაღალდის ან მუყაოს სარეგისტრაციო ჟურნალები/წიგნები, 
საბუღალტრო წიგნები, ფორმები და სხვა ნაბეჭდი საკანცელარიო ნივთები</t>
  </si>
  <si>
    <t>სუფთა ქიმიკატები და სხვადასხვა ქიმიური ნივთიერებების პროდუქტები</t>
  </si>
  <si>
    <t>საოფისე მანქანა-დანადგარები, 
აღჭურვილობა, საკაცელარიო ნივთები, კომპიუტერების, პრინტერების და ავეჯის გარდა</t>
  </si>
  <si>
    <t>კონს. ტ.</t>
  </si>
  <si>
    <t>კომპიუტერული მოწყობილობები 
და აქსესუარები</t>
  </si>
  <si>
    <t>ელექტროძრავები, გენერატორები და ტრანსფორმატორები</t>
  </si>
  <si>
    <t>ელექტროენერგიის გამანაწილებელი 
და საკონტროლო აპარატურა</t>
  </si>
  <si>
    <t>იზოლირებული მავთული და კაბელი</t>
  </si>
  <si>
    <t>აკუმულატორები, დენის პირველადი წყაროები და პირველადი ელემენტები</t>
  </si>
  <si>
    <t>გასანათებელი მოწყობილობები და ელექტრო ნათურები</t>
  </si>
  <si>
    <t>ტელე- და რადიო სიგნალის მიმღები და აუდიო- ან ვიდეოგამოსახულების ჩამწერი ან აღწარმოების აპარატურა</t>
  </si>
  <si>
    <t>ქსელები</t>
  </si>
  <si>
    <t>სატელეკომუნიკაციო მოწყობილობები და აქსესუარები</t>
  </si>
  <si>
    <t>პირადი ჰიგიენის საშუალებები</t>
  </si>
  <si>
    <t>საგანგებო სიტუაცუების დროს გამოსაყენებელი მოწყობილობები და უსაფრთხოების საშუალებები</t>
  </si>
  <si>
    <t>ინდივიდუალური და დამხმარე მოწყობილობები</t>
  </si>
  <si>
    <t>ავეჯი</t>
  </si>
  <si>
    <t>ე.ტ.</t>
  </si>
  <si>
    <t>ავეჯის აქსესუარები</t>
  </si>
  <si>
    <t>ქსოვილის ნივთები</t>
  </si>
  <si>
    <t>საოჯახო ტექნიკა</t>
  </si>
  <si>
    <t>საწმენდი და საპრიალებელი პროდუქტები</t>
  </si>
  <si>
    <t>სამშენებლო მასალები და დამხმარე სამშენებლო მასალები</t>
  </si>
  <si>
    <t>სტრუქტურული მასალები</t>
  </si>
  <si>
    <t>კაბელები, მავთულები და მათთან 
დაკავშირებული მასალები</t>
  </si>
  <si>
    <t>სხვადასხვა ქარხნული წარმოების მასალა და მათთან დაკავშირებული საგნები</t>
  </si>
  <si>
    <t>ხელსაწყოები, საკეტები, გასაღებები, ანჯამები, დამჭერები, ჯაჭვები და ზამბარები/რესორები</t>
  </si>
  <si>
    <t>ავზები, რეზერვუარები, კონტეინერები და წნევის ქვეშ მომუშავე ჭურჭელი</t>
  </si>
  <si>
    <t>ქსელების, ინტერნეტისა და ინტრანეტის  პროგრამული პაკეტები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</si>
  <si>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</si>
  <si>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სამედიცინო და ზუსტი საზომი აპარატურის შეკეთება და ტექნიკური მომსახურება</t>
  </si>
  <si>
    <t>ტუმბოების, სარქველების, ონკანებისა და ლითონის კონტეინერების, ასევე, მანქანების შეკეთება და ტექნიკური მომსახურება</t>
  </si>
  <si>
    <t>შენობის მოწყობილობების შეკეთება და ტექნიკური მომსახურება</t>
  </si>
  <si>
    <t>სხვადასხვა სახის სარემონტო (შესაკეთებელი) სამუშაოები და ტექნიკური მომსახურება</t>
  </si>
  <si>
    <t>ტვირთის გადაზიდვისა და შენახვის მომსახურებები</t>
  </si>
  <si>
    <t>საფოსტო და საკურიერო მომსახურებები</t>
  </si>
  <si>
    <t>სატელეკომუნიკაციო მომსახურებები</t>
  </si>
  <si>
    <t>,,სახელმწიფო შესყიდვების შესახებ'' საქართველოს კანონის მე-10-1 მუხლის მესამე პუნქტის ,,ა'' ქვეპუნქტი</t>
  </si>
  <si>
    <t>ინტერნეტმომსახურებები</t>
  </si>
  <si>
    <t>საბუღალტრო, აუდიტორული და ფისკალური მომსახურებები</t>
  </si>
  <si>
    <t>ბეჭდვა და მასთან დაკავშირებული მომსახურებები</t>
  </si>
  <si>
    <t>დასუფთავება და სანიტარული მომსახურება</t>
  </si>
  <si>
    <t>სატელევიზიო და რადიო მომსახურებები</t>
  </si>
  <si>
    <t>სხვადასხვა მომსახურება</t>
  </si>
  <si>
    <t>წარმომადგენლობითი ხარჯები</t>
  </si>
  <si>
    <t>0.3100000.</t>
  </si>
  <si>
    <t>სოფლის მეურნეობისა და ბაღჩეული 
პროდუქტები</t>
  </si>
  <si>
    <t>,,სახელმწიფო შესყიდვების შესახებ'' საქართველოს კანონის მე-10-1 მუხლის მესამე პუნქტის ,,ვ'' ქვეპუნქტი</t>
  </si>
  <si>
    <t>რძის პროდუქტები</t>
  </si>
  <si>
    <t>სხვადასხვა საკვები პროდუქტი</t>
  </si>
  <si>
    <t>სასმელები, თამბაქო და მონათესავე 
პროდუქტები</t>
  </si>
  <si>
    <t>სასტუმროს მომსახურება</t>
  </si>
  <si>
    <t>რესტორნებისა და კვების საწარმოების 
მომსახურეობები</t>
  </si>
  <si>
    <t>სასადილოებისა და საზოგადოებრივი კვების სწარმოების მომსახურება</t>
  </si>
  <si>
    <t>ტრანსპორტის მოვლა-შენახვის ხარჯები</t>
  </si>
  <si>
    <t>09100000</t>
  </si>
  <si>
    <t>საწვავი</t>
  </si>
  <si>
    <t>09200000</t>
  </si>
  <si>
    <t>ნავთობი, ქვანახშირი და 
ნავთობპროდუქტები</t>
  </si>
  <si>
    <t>14800000</t>
  </si>
  <si>
    <t>სხვადასხვა არალითონური მინერალური პროდუქტი</t>
  </si>
  <si>
    <t>ნაწილები და აქსესუარები სატრანსპორტო საშუალებებისა და მათი ძრავებისათვის</t>
  </si>
  <si>
    <t>სხვადასხვა ზოგადი და სპეციალური დანიშნულების მანქანა-დანადგარები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</si>
  <si>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</si>
  <si>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,,სახელმწიფო შესყიდვების შესახებ'' საქართველოს
 კანონის მე-10-1 მუხლის მესამე პუნქტის ,,თ'' ქვეპუნქტი. საქართველოს მთავრობის 2011 წლის 21 იანვრის N26 დადგენილება</t>
  </si>
  <si>
    <t>სხვა დანარჩენი საქონელი და მომსახურება</t>
  </si>
  <si>
    <t>,,სახელმწიფო შესყიდვების შესახებ'' საქართველოს კანონის მე-10-1 მუხლის მესამე პუნქტის ,,ზ'' ქვეპუნქტი</t>
  </si>
  <si>
    <t>ადმინისტრაციული მომსახურება</t>
  </si>
  <si>
    <t>გამოძიებასა და უსაფრთხოებასთან დაკავშირებული მომსახურებები</t>
  </si>
  <si>
    <t>სხვა ხარჯები</t>
  </si>
  <si>
    <t>სადაზღვევო და საპენსიო მომსახურებები</t>
  </si>
  <si>
    <t>არაფინანსური აქტივების ზრდა</t>
  </si>
  <si>
    <t>შენობის დასრულების სამუშაოები</t>
  </si>
  <si>
    <t>ინფრასტრუქტურა</t>
  </si>
  <si>
    <t>ქვეპროგრამა - საჯარო სკოლების 
ინფრასტრუქტურის გაუმჯობესება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</si>
  <si>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</si>
  <si>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არქიტექტურული და მასთან დაკავშირებული მომსახურებები</t>
  </si>
  <si>
    <t>საპროექტო-სახარჯთაღრიცხვო დოკუმენტაცია</t>
  </si>
  <si>
    <t>ქვეპროგრამა - საჯარო სკოლების მატერიალური ბაზის გაუმჯობესება</t>
  </si>
  <si>
    <t>ნაბეჭდი წიგნები, ბროშურები და საინფორმაციო ფურცლები</t>
  </si>
  <si>
    <t>განათლება</t>
  </si>
  <si>
    <t>ქვეპროგრამა - სწავლა საზღვარგარეთ</t>
  </si>
  <si>
    <t>ქვეპროგრამა - კონკურსები და ოლიმპიადები</t>
  </si>
  <si>
    <t>სხვადასხვა კომერციული მომსახურება და მასთან დაკავშირებული მომსახურებები</t>
  </si>
  <si>
    <t>მომსახურებები საშუალო განათლების სფეროში</t>
  </si>
  <si>
    <t xml:space="preserve"> </t>
  </si>
  <si>
    <t>კულტურა</t>
  </si>
  <si>
    <t>პროგრამა - კულტურის პოპულარიზაცია და შემოქმედებითი ინდუსტრიების განვითარების ხელშეწყობა</t>
  </si>
  <si>
    <t>60100000</t>
  </si>
  <si>
    <t>საავტომობილო ტრანსპორტის მომსახურებები</t>
  </si>
  <si>
    <t>საჰაერო ტრანსპორტის მომსახურებები</t>
  </si>
  <si>
    <t>კინო და ვიდეომომსახურებები</t>
  </si>
  <si>
    <t>სატრენინგო მომსახურებები</t>
  </si>
  <si>
    <t>სპეციალური ტანსაცმელი და აქსესუარები</t>
  </si>
  <si>
    <t>პროგრამა - კულტურის სფეროს წარმომადგენელთა 
პროფესიული განვითარების ხელშეწყობა</t>
  </si>
  <si>
    <t>შესყიდვის საფუძველი</t>
  </si>
  <si>
    <t>პერსონალური კომპიუტერების, საოფისე აპარატურის, სატელეკომუნიკაციო და აუდიო-ვიზუალური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</si>
  <si>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ზღვრების შესაბამისად</t>
  </si>
  <si>
    <t>კონს.ტ.</t>
  </si>
  <si>
    <t>სახმელეთო, წყლისა და საჰაერო ტრანსპორტის დამხმარე მომსახურებები</t>
  </si>
  <si>
    <t>კომპიუტერული ქსელის მომსახურება</t>
  </si>
  <si>
    <t>ხილი, ბოსტნეული და მონათესავე პროდუტები</t>
  </si>
  <si>
    <t>ჩანთები</t>
  </si>
  <si>
    <t>პროგრამული პაკეტების მომსახურე პროგრამები</t>
  </si>
  <si>
    <t>,,სახელმწიფო შესყიდვების შესახებ'' საქართველოს კანონის მე-10-1 მუხლის მესამე პუნქტის ,,დ'' ქვეპუნქტი. საქართველოს მთავრობის 2012 წლის 26 სექტემბრის N1805 განკარგულება</t>
  </si>
  <si>
    <t>სამედიცინო ხარჯები</t>
  </si>
  <si>
    <t>სამედიცინო მოწყობილობები</t>
  </si>
  <si>
    <t>ფარმაცევტული პროდუქტები</t>
  </si>
  <si>
    <t>სპორტული საქონელი და აღჭურვილობა</t>
  </si>
  <si>
    <t>მრავალწლიანი შესყიდვა</t>
  </si>
  <si>
    <t>ახალი ამბების სააგენტოების მომსახურებები</t>
  </si>
  <si>
    <t>კონს.</t>
  </si>
  <si>
    <t>მუსიკალური ინსტრუმენტები და ნაწილები</t>
  </si>
  <si>
    <t>დანადგარები მექანიკური ენერგიის წარმოებისა და გამოყენებისათვის</t>
  </si>
  <si>
    <t>ტექნიკური შემოწმება, ანალიზი და საკონსულტაციო მომსახურებები</t>
  </si>
  <si>
    <t>ნორმატიული აქტით გათვალისწინებული გადასახადი</t>
  </si>
  <si>
    <t>სარეკლამო მომსახურება</t>
  </si>
  <si>
    <t>გადამზადება, კვალიფიკაციის ამაღლება</t>
  </si>
  <si>
    <t>პროგრამა - ზოგადი და პროფესიული განათლება</t>
  </si>
  <si>
    <t>ქვეპროგრამა - საჯარო სკოლის მოსწავლეების ტრანსპორტით უზრუნველყოფა</t>
  </si>
  <si>
    <t>პროგრამა - უმაღლესი განათლება</t>
  </si>
  <si>
    <t>ბუნებრივი წყალი</t>
  </si>
  <si>
    <t>პროგრამა - კულტურის დაწესებულებების ინფრასტრუქტურის გაუმჯობესება</t>
  </si>
  <si>
    <t>სამშენებლო-სამონტაჟო სამუშაოები</t>
  </si>
  <si>
    <t>19500000</t>
  </si>
  <si>
    <t>რეზინისა და პლასტმასის მასალები</t>
  </si>
  <si>
    <t>თანხა</t>
  </si>
  <si>
    <t>დარჩ.</t>
  </si>
  <si>
    <t>მრ/წლ</t>
  </si>
  <si>
    <t>სხვადასხვა სახის მოწყობილობები</t>
  </si>
  <si>
    <t>51300000</t>
  </si>
  <si>
    <t>საკომუნიკაციო მოწყობილობების მონტაჟი</t>
  </si>
  <si>
    <t>ფიზიკური მახასიათებლების კონტროლის ხელსაწყოები</t>
  </si>
  <si>
    <t>მრავალწლიანი შესყიდვა, ტექნიკური ზედამხედველობა</t>
  </si>
  <si>
    <t>სამშენებლო უბნის მოსამზადებელი სამუშაოები</t>
  </si>
  <si>
    <t>ხელნაკეთობები და ხელოვნების ნივთების შესაქმნელად საჭირო მასალები</t>
  </si>
  <si>
    <t>საღებავები, ლაქები და მასტიკები</t>
  </si>
  <si>
    <t>IV</t>
  </si>
  <si>
    <t>კომპიუტერის შემოწმება და ტესტირება</t>
  </si>
  <si>
    <t>პროგრამა - ფოლკლორის პოლულარიზაცია და ხელშეწყობა</t>
  </si>
  <si>
    <t>პროგრამა - საგანმანათლებლო დაწესებულებების 
ინფრასტრუქტურის გაუმჯობესება და ინვენტარით აღჭურვა</t>
  </si>
  <si>
    <t>კონს.ტ</t>
  </si>
  <si>
    <t xml:space="preserve">სახელმწიფო შესყიდვების წლიური გეგმა </t>
  </si>
  <si>
    <t>ქვეპროგრამა - პროექტების მხარდაჭერა, ფესტივალების და ღონისძიებების ორგანიზება</t>
  </si>
  <si>
    <t>ქვეპროგრამა - ახალი ინდივიდუალური შემოქმედებითი პროექტების ხელშეწყობა</t>
  </si>
  <si>
    <t>საინჟინრო მომსახურებები</t>
  </si>
  <si>
    <t>იურიდიული მომსახურება</t>
  </si>
  <si>
    <t>ფაქტიური გადახდები</t>
  </si>
  <si>
    <t>ელექტრომოწყობუილობები და აპარატურა</t>
  </si>
  <si>
    <t>ქვეპროგრამა - უმაღლესი განათლება</t>
  </si>
  <si>
    <t>39200000</t>
  </si>
  <si>
    <t>ქვეპროგრამა - უცხოეთში სტაჟირება</t>
  </si>
  <si>
    <t>ეტ</t>
  </si>
  <si>
    <t xml:space="preserve">ქვეპროგრამა - სტუდენტთა დახმარება </t>
  </si>
  <si>
    <t>მრავალწლიანი საექსპერტო მომსახურება</t>
  </si>
  <si>
    <t>4. დაფინანსების წყარო: აჭარის ავტონომიური რესპუბლიკის
 2024 წლის რესპუბლიკური ბიუჯეტი</t>
  </si>
  <si>
    <t>საზოგადოებისათვის მომსახურებების გაწევა</t>
  </si>
  <si>
    <t>ფეთქებადი ნივთიერებები</t>
  </si>
  <si>
    <t>ექსკლუზივი</t>
  </si>
  <si>
    <t>კონკ.</t>
  </si>
  <si>
    <t>ქსოვილების, ტანსაცმლის და ტყავის წარმოების მანქანა დანადგარები</t>
  </si>
  <si>
    <t>გარედან ჩასაცმელი ტანსაცმელი</t>
  </si>
  <si>
    <t>ტანსაცმელი</t>
  </si>
  <si>
    <t>ფეხსაცმელი</t>
  </si>
  <si>
    <t>II-IV</t>
  </si>
  <si>
    <t>ფ</t>
  </si>
  <si>
    <t>საფეიქრო ნაწარმი</t>
  </si>
  <si>
    <t>10;</t>
  </si>
  <si>
    <t>6;11</t>
  </si>
  <si>
    <t>12;</t>
  </si>
  <si>
    <t>7;13</t>
  </si>
  <si>
    <t>8;9;14;15;16;17</t>
  </si>
  <si>
    <t>19;</t>
  </si>
  <si>
    <t>18;</t>
  </si>
  <si>
    <t>23;</t>
  </si>
  <si>
    <t>24;</t>
  </si>
  <si>
    <t>25;</t>
  </si>
  <si>
    <t>23;25</t>
  </si>
  <si>
    <t>3;27</t>
  </si>
  <si>
    <t>2;28</t>
  </si>
  <si>
    <t>29;</t>
  </si>
  <si>
    <t>30;</t>
  </si>
  <si>
    <t>31;</t>
  </si>
  <si>
    <t>36;37</t>
  </si>
  <si>
    <t>23;42</t>
  </si>
  <si>
    <t>49;55</t>
  </si>
  <si>
    <t>1;26;31;56</t>
  </si>
  <si>
    <t>51;60</t>
  </si>
  <si>
    <t>72;73</t>
  </si>
  <si>
    <t>61;75</t>
  </si>
  <si>
    <t>79; 80;81;82</t>
  </si>
  <si>
    <t>გაუქმებული ხელშეკრულება</t>
  </si>
  <si>
    <t>64;65;84</t>
  </si>
  <si>
    <t>85;</t>
  </si>
  <si>
    <t>45;97</t>
  </si>
  <si>
    <t>საზომი ხელსაწყოები</t>
  </si>
  <si>
    <t>სილქ. მობილური</t>
  </si>
  <si>
    <t>გამაგრილებელი და სავენტილაციო მოწყობილობები</t>
  </si>
  <si>
    <t>III</t>
  </si>
  <si>
    <t>"დ" ქვეპუნქტი</t>
  </si>
  <si>
    <t>II</t>
  </si>
  <si>
    <t>პლასტმასი პირველადი ფორმით</t>
  </si>
  <si>
    <t xml:space="preserve">107; </t>
  </si>
  <si>
    <t>111;</t>
  </si>
  <si>
    <t>112;</t>
  </si>
  <si>
    <t>53;86;95;114</t>
  </si>
  <si>
    <t>52;115-1</t>
  </si>
  <si>
    <t>67;122</t>
  </si>
  <si>
    <t>110; 118; 120 ;125; 127</t>
  </si>
  <si>
    <t>57; 129</t>
  </si>
  <si>
    <t>შეფასებასთან დაკავშირებული მომსახურება</t>
  </si>
  <si>
    <t>III-IV</t>
  </si>
  <si>
    <t>134;</t>
  </si>
  <si>
    <t>ტელე-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</si>
  <si>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t xml:space="preserve"> საკონტროლო და გამოსაცდელი აპარატურა</t>
  </si>
  <si>
    <t>141;</t>
  </si>
  <si>
    <t>116;142</t>
  </si>
  <si>
    <t>143;</t>
  </si>
  <si>
    <t>41; 146</t>
  </si>
  <si>
    <t>109; 131;147</t>
  </si>
  <si>
    <t>88; 117; 121;151</t>
  </si>
  <si>
    <t>22;40;63+153</t>
  </si>
  <si>
    <t>47;48;54;59;77;89;98;105;  133; 135;138; 154; 155;158</t>
  </si>
  <si>
    <t>62; 78; 96; 106; 115; 124;144;159</t>
  </si>
  <si>
    <t>21;76;113;160</t>
  </si>
  <si>
    <t>162;</t>
  </si>
  <si>
    <t>164;</t>
  </si>
  <si>
    <t>165;</t>
  </si>
  <si>
    <t>166;</t>
  </si>
  <si>
    <t>93;97;167</t>
  </si>
  <si>
    <t>93;167</t>
  </si>
  <si>
    <t>167;</t>
  </si>
  <si>
    <t>108;167</t>
  </si>
  <si>
    <t>4;58;168</t>
  </si>
  <si>
    <t>20;169</t>
  </si>
  <si>
    <t>70;90;92; 130;152;170</t>
  </si>
  <si>
    <t>66;74;171</t>
  </si>
  <si>
    <t>172;</t>
  </si>
  <si>
    <t>174;</t>
  </si>
  <si>
    <t>163;175</t>
  </si>
  <si>
    <t>ქვეპროგრამა - ვასწავლოთ მომავალი წარმატებისათვის</t>
  </si>
  <si>
    <t>173;</t>
  </si>
  <si>
    <t>156;</t>
  </si>
  <si>
    <t>161; T167/09</t>
  </si>
  <si>
    <t>1. შედგენის თარიღი: 10.10.2024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</si>
</sst>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₾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4" xfId="0" applyFill="1" applyBorder="1"/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8" fillId="2" borderId="0" xfId="0" applyFont="1" applyFill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4" xfId="0" applyFill="1" applyBorder="1"/>
    <xf numFmtId="0" fontId="0" fillId="0" borderId="0" xfId="0" applyFill="1"/>
    <xf numFmtId="0" fontId="1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4" xfId="0" applyFont="1" applyFill="1" applyBorder="1"/>
    <xf numFmtId="0" fontId="7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wrapText="1"/>
    </xf>
    <xf numFmtId="0" fontId="12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13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0"/>
  <sheetViews>
    <sheetView tabSelected="1" view="pageBreakPreview" zoomScaleNormal="110" zoomScaleSheetLayoutView="100" workbookViewId="0">
      <selection activeCell="C7" sqref="C7"/>
    </sheetView>
  </sheetViews>
  <sheetFormatPr defaultRowHeight="15" x14ac:dyDescent="0.25"/>
  <cols>
    <col min="1" max="1" width="3.5703125" style="5" customWidth="1"/>
    <col min="2" max="2" width="10.28515625" style="5" customWidth="1"/>
    <col min="3" max="3" width="51.7109375" style="5" customWidth="1"/>
    <col min="4" max="4" width="13.42578125" style="5" customWidth="1"/>
    <col min="5" max="5" width="6.42578125" style="5" customWidth="1"/>
    <col min="6" max="6" width="7.28515625" style="5" customWidth="1"/>
    <col min="7" max="7" width="39.140625" style="5" customWidth="1"/>
    <col min="8" max="8" width="11.42578125" style="20" customWidth="1"/>
    <col min="9" max="9" width="11.85546875" style="20" customWidth="1"/>
    <col min="10" max="10" width="23.140625" style="3" customWidth="1"/>
    <col min="11" max="11" width="27.28515625" style="5" customWidth="1"/>
    <col min="12" max="16384" width="9.140625" style="5"/>
  </cols>
  <sheetData>
    <row r="1" spans="1:11" ht="34.5" customHeight="1" x14ac:dyDescent="0.25">
      <c r="A1" s="47" t="s">
        <v>162</v>
      </c>
      <c r="B1" s="48"/>
      <c r="C1" s="48"/>
      <c r="D1" s="48"/>
      <c r="E1" s="48"/>
      <c r="F1" s="48"/>
      <c r="G1" s="49"/>
      <c r="H1" s="1"/>
      <c r="I1" s="2"/>
      <c r="J1" s="34">
        <v>175</v>
      </c>
      <c r="K1" s="43"/>
    </row>
    <row r="2" spans="1:11" ht="27" customHeight="1" x14ac:dyDescent="0.25">
      <c r="A2" s="50" t="s">
        <v>264</v>
      </c>
      <c r="B2" s="51"/>
      <c r="C2" s="51"/>
      <c r="D2" s="52"/>
      <c r="E2" s="53" t="s">
        <v>0</v>
      </c>
      <c r="F2" s="54"/>
      <c r="G2" s="55"/>
      <c r="H2" s="6"/>
      <c r="I2" s="7"/>
      <c r="J2" s="8"/>
      <c r="K2" s="4"/>
    </row>
    <row r="3" spans="1:11" ht="40.5" customHeight="1" x14ac:dyDescent="0.25">
      <c r="A3" s="53" t="s">
        <v>1</v>
      </c>
      <c r="B3" s="51"/>
      <c r="C3" s="51"/>
      <c r="D3" s="52"/>
      <c r="E3" s="53" t="s">
        <v>175</v>
      </c>
      <c r="F3" s="51"/>
      <c r="G3" s="52"/>
      <c r="H3" s="6"/>
      <c r="I3" s="2"/>
      <c r="J3" s="8"/>
      <c r="K3" s="4"/>
    </row>
    <row r="4" spans="1:11" ht="16.5" customHeight="1" x14ac:dyDescent="0.25">
      <c r="A4" s="50"/>
      <c r="B4" s="51"/>
      <c r="C4" s="51"/>
      <c r="D4" s="51"/>
      <c r="E4" s="51"/>
      <c r="F4" s="51"/>
      <c r="G4" s="52"/>
      <c r="H4" s="6"/>
      <c r="I4" s="2"/>
      <c r="J4" s="8"/>
      <c r="K4" s="4"/>
    </row>
    <row r="5" spans="1:11" ht="33.75" customHeight="1" x14ac:dyDescent="0.25">
      <c r="A5" s="53" t="s">
        <v>2</v>
      </c>
      <c r="B5" s="51"/>
      <c r="C5" s="51"/>
      <c r="D5" s="52"/>
      <c r="E5" s="56">
        <f>D9+D148+D193+D222</f>
        <v>55872337</v>
      </c>
      <c r="F5" s="57"/>
      <c r="G5" s="58"/>
      <c r="H5" s="6"/>
      <c r="I5" s="2"/>
      <c r="J5" s="8"/>
      <c r="K5" s="4"/>
    </row>
    <row r="6" spans="1:11" ht="18.75" customHeight="1" x14ac:dyDescent="0.25">
      <c r="A6" s="59"/>
      <c r="B6" s="60"/>
      <c r="C6" s="60"/>
      <c r="D6" s="60"/>
      <c r="E6" s="60"/>
      <c r="F6" s="60"/>
      <c r="G6" s="61"/>
      <c r="H6" s="9"/>
      <c r="I6" s="2"/>
      <c r="J6" s="8"/>
      <c r="K6" s="4"/>
    </row>
    <row r="7" spans="1:11" ht="60" x14ac:dyDescent="0.25">
      <c r="A7" s="2" t="s">
        <v>3</v>
      </c>
      <c r="B7" s="7" t="s">
        <v>4</v>
      </c>
      <c r="C7" s="2" t="s">
        <v>5</v>
      </c>
      <c r="D7" s="7" t="s">
        <v>6</v>
      </c>
      <c r="E7" s="7" t="s">
        <v>7</v>
      </c>
      <c r="F7" s="7" t="s">
        <v>8</v>
      </c>
      <c r="G7" s="2" t="s">
        <v>115</v>
      </c>
      <c r="H7" s="2" t="s">
        <v>146</v>
      </c>
      <c r="I7" s="7" t="s">
        <v>147</v>
      </c>
      <c r="J7" s="10"/>
      <c r="K7" s="11" t="s">
        <v>167</v>
      </c>
    </row>
    <row r="8" spans="1:11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2"/>
      <c r="I8" s="2"/>
      <c r="J8" s="12"/>
      <c r="K8" s="4"/>
    </row>
    <row r="9" spans="1:11" ht="27.75" customHeight="1" x14ac:dyDescent="0.25">
      <c r="A9" s="62" t="s">
        <v>9</v>
      </c>
      <c r="B9" s="63"/>
      <c r="C9" s="64"/>
      <c r="D9" s="22">
        <f>D10+D80+D100+D105+D129+D140+D143</f>
        <v>775616</v>
      </c>
      <c r="E9" s="13"/>
      <c r="F9" s="13"/>
      <c r="G9" s="13"/>
      <c r="H9" s="2"/>
      <c r="I9" s="2"/>
      <c r="J9" s="8"/>
      <c r="K9" s="4"/>
    </row>
    <row r="10" spans="1:11" ht="21.75" customHeight="1" x14ac:dyDescent="0.25">
      <c r="A10" s="44" t="s">
        <v>10</v>
      </c>
      <c r="B10" s="45"/>
      <c r="C10" s="46"/>
      <c r="D10" s="23">
        <f>SUM(D11:D79)</f>
        <v>118580</v>
      </c>
      <c r="E10" s="13"/>
      <c r="F10" s="13"/>
      <c r="G10" s="13"/>
      <c r="H10" s="2"/>
      <c r="I10" s="2"/>
      <c r="J10" s="8"/>
      <c r="K10" s="4"/>
    </row>
    <row r="11" spans="1:11" ht="32.25" customHeight="1" x14ac:dyDescent="0.25">
      <c r="A11" s="13">
        <v>1</v>
      </c>
      <c r="B11" s="13">
        <v>18100000</v>
      </c>
      <c r="C11" s="14" t="s">
        <v>11</v>
      </c>
      <c r="D11" s="15">
        <v>525</v>
      </c>
      <c r="E11" s="13" t="s">
        <v>12</v>
      </c>
      <c r="F11" s="13" t="s">
        <v>13</v>
      </c>
      <c r="G11" s="13" t="s">
        <v>117</v>
      </c>
      <c r="H11" s="2">
        <f>200</f>
        <v>200</v>
      </c>
      <c r="I11" s="2">
        <f>D11-H11</f>
        <v>325</v>
      </c>
      <c r="J11" s="8">
        <v>97</v>
      </c>
      <c r="K11" s="4"/>
    </row>
    <row r="12" spans="1:11" ht="32.25" customHeight="1" x14ac:dyDescent="0.25">
      <c r="A12" s="13">
        <v>2</v>
      </c>
      <c r="B12" s="13">
        <v>18200000</v>
      </c>
      <c r="C12" s="14" t="s">
        <v>181</v>
      </c>
      <c r="D12" s="15">
        <v>115</v>
      </c>
      <c r="E12" s="13" t="s">
        <v>12</v>
      </c>
      <c r="F12" s="13" t="s">
        <v>184</v>
      </c>
      <c r="G12" s="13" t="s">
        <v>117</v>
      </c>
      <c r="H12" s="2">
        <v>115</v>
      </c>
      <c r="I12" s="2">
        <f t="shared" ref="I12:I78" si="0">D12-H12</f>
        <v>0</v>
      </c>
      <c r="J12" s="8">
        <v>67</v>
      </c>
      <c r="K12" s="4"/>
    </row>
    <row r="13" spans="1:11" ht="32.25" customHeight="1" x14ac:dyDescent="0.25">
      <c r="A13" s="13">
        <v>3</v>
      </c>
      <c r="B13" s="13">
        <v>18300000</v>
      </c>
      <c r="C13" s="14" t="s">
        <v>182</v>
      </c>
      <c r="D13" s="15">
        <v>50</v>
      </c>
      <c r="E13" s="13" t="s">
        <v>12</v>
      </c>
      <c r="F13" s="13" t="s">
        <v>184</v>
      </c>
      <c r="G13" s="13"/>
      <c r="H13" s="2"/>
      <c r="I13" s="2">
        <f t="shared" si="0"/>
        <v>50</v>
      </c>
      <c r="J13" s="8"/>
      <c r="K13" s="4"/>
    </row>
    <row r="14" spans="1:11" ht="30" customHeight="1" x14ac:dyDescent="0.25">
      <c r="A14" s="13">
        <v>4</v>
      </c>
      <c r="B14" s="13">
        <v>18500000</v>
      </c>
      <c r="C14" s="14" t="s">
        <v>14</v>
      </c>
      <c r="D14" s="15">
        <v>100</v>
      </c>
      <c r="E14" s="13" t="s">
        <v>12</v>
      </c>
      <c r="F14" s="13" t="s">
        <v>13</v>
      </c>
      <c r="G14" s="13" t="s">
        <v>117</v>
      </c>
      <c r="H14" s="2"/>
      <c r="I14" s="2">
        <f t="shared" si="0"/>
        <v>100</v>
      </c>
      <c r="J14" s="8"/>
      <c r="K14" s="4"/>
    </row>
    <row r="15" spans="1:11" ht="30" customHeight="1" x14ac:dyDescent="0.25">
      <c r="A15" s="13">
        <v>5</v>
      </c>
      <c r="B15" s="13">
        <v>18800000</v>
      </c>
      <c r="C15" s="14" t="s">
        <v>183</v>
      </c>
      <c r="D15" s="15">
        <v>110</v>
      </c>
      <c r="E15" s="13" t="s">
        <v>12</v>
      </c>
      <c r="F15" s="13" t="s">
        <v>184</v>
      </c>
      <c r="G15" s="13" t="s">
        <v>117</v>
      </c>
      <c r="H15" s="2">
        <v>110</v>
      </c>
      <c r="I15" s="2">
        <f t="shared" si="0"/>
        <v>0</v>
      </c>
      <c r="J15" s="8">
        <v>67</v>
      </c>
      <c r="K15" s="4"/>
    </row>
    <row r="16" spans="1:11" ht="21.75" customHeight="1" x14ac:dyDescent="0.25">
      <c r="A16" s="13">
        <v>6</v>
      </c>
      <c r="B16" s="13">
        <v>18900000</v>
      </c>
      <c r="C16" s="14" t="s">
        <v>122</v>
      </c>
      <c r="D16" s="15">
        <v>300</v>
      </c>
      <c r="E16" s="13" t="s">
        <v>12</v>
      </c>
      <c r="F16" s="13" t="s">
        <v>13</v>
      </c>
      <c r="G16" s="13" t="s">
        <v>117</v>
      </c>
      <c r="H16" s="2"/>
      <c r="I16" s="2">
        <f t="shared" si="0"/>
        <v>300</v>
      </c>
      <c r="J16" s="8"/>
      <c r="K16" s="4"/>
    </row>
    <row r="17" spans="1:11" ht="24.75" customHeight="1" x14ac:dyDescent="0.25">
      <c r="A17" s="13">
        <v>7</v>
      </c>
      <c r="B17" s="13">
        <v>19400000</v>
      </c>
      <c r="C17" s="14" t="s">
        <v>15</v>
      </c>
      <c r="D17" s="15">
        <v>100</v>
      </c>
      <c r="E17" s="13" t="s">
        <v>12</v>
      </c>
      <c r="F17" s="13" t="s">
        <v>13</v>
      </c>
      <c r="G17" s="13" t="s">
        <v>117</v>
      </c>
      <c r="H17" s="2">
        <v>40</v>
      </c>
      <c r="I17" s="2">
        <f t="shared" si="0"/>
        <v>60</v>
      </c>
      <c r="J17" s="8">
        <v>150</v>
      </c>
      <c r="K17" s="4"/>
    </row>
    <row r="18" spans="1:11" customFormat="1" ht="34.5" customHeight="1" x14ac:dyDescent="0.25">
      <c r="A18" s="36">
        <v>8</v>
      </c>
      <c r="B18" s="36">
        <v>19600000</v>
      </c>
      <c r="C18" s="35" t="s">
        <v>16</v>
      </c>
      <c r="D18" s="33">
        <f>680-300</f>
        <v>380</v>
      </c>
      <c r="E18" s="36" t="s">
        <v>12</v>
      </c>
      <c r="F18" s="36" t="s">
        <v>13</v>
      </c>
      <c r="G18" s="36" t="s">
        <v>117</v>
      </c>
      <c r="H18" s="32"/>
      <c r="I18" s="32">
        <f t="shared" si="0"/>
        <v>380</v>
      </c>
      <c r="J18" s="38"/>
      <c r="K18" s="39"/>
    </row>
    <row r="19" spans="1:11" customFormat="1" ht="31.5" customHeight="1" x14ac:dyDescent="0.25">
      <c r="A19" s="36">
        <v>9</v>
      </c>
      <c r="B19" s="36">
        <v>22200000</v>
      </c>
      <c r="C19" s="35" t="s">
        <v>17</v>
      </c>
      <c r="D19" s="33">
        <v>600</v>
      </c>
      <c r="E19" s="36" t="s">
        <v>12</v>
      </c>
      <c r="F19" s="36" t="s">
        <v>13</v>
      </c>
      <c r="G19" s="36" t="s">
        <v>117</v>
      </c>
      <c r="H19" s="32">
        <v>227.6</v>
      </c>
      <c r="I19" s="32">
        <f t="shared" si="0"/>
        <v>372.4</v>
      </c>
      <c r="J19" s="38" t="s">
        <v>195</v>
      </c>
      <c r="K19" s="39"/>
    </row>
    <row r="20" spans="1:11" customFormat="1" ht="34.5" customHeight="1" x14ac:dyDescent="0.25">
      <c r="A20" s="36">
        <v>10</v>
      </c>
      <c r="B20" s="36">
        <v>22300000</v>
      </c>
      <c r="C20" s="35" t="s">
        <v>18</v>
      </c>
      <c r="D20" s="33">
        <f>300-200</f>
        <v>100</v>
      </c>
      <c r="E20" s="36" t="s">
        <v>12</v>
      </c>
      <c r="F20" s="36" t="s">
        <v>13</v>
      </c>
      <c r="G20" s="36" t="s">
        <v>117</v>
      </c>
      <c r="H20" s="32"/>
      <c r="I20" s="32">
        <f t="shared" si="0"/>
        <v>100</v>
      </c>
      <c r="J20" s="38"/>
      <c r="K20" s="39"/>
    </row>
    <row r="21" spans="1:11" ht="37.5" customHeight="1" x14ac:dyDescent="0.25">
      <c r="A21" s="13">
        <v>11</v>
      </c>
      <c r="B21" s="13">
        <v>22400000</v>
      </c>
      <c r="C21" s="14" t="s">
        <v>19</v>
      </c>
      <c r="D21" s="15">
        <v>6900</v>
      </c>
      <c r="E21" s="13" t="s">
        <v>37</v>
      </c>
      <c r="F21" s="13" t="s">
        <v>13</v>
      </c>
      <c r="G21" s="13"/>
      <c r="H21" s="2">
        <f>744.12+6150</f>
        <v>6894.12</v>
      </c>
      <c r="I21" s="13">
        <f t="shared" si="0"/>
        <v>5.8800000000001091</v>
      </c>
      <c r="J21" s="8" t="s">
        <v>205</v>
      </c>
      <c r="K21" s="4"/>
    </row>
    <row r="22" spans="1:11" ht="48.75" customHeight="1" x14ac:dyDescent="0.25">
      <c r="A22" s="13">
        <v>12</v>
      </c>
      <c r="B22" s="13">
        <v>22800000</v>
      </c>
      <c r="C22" s="14" t="s">
        <v>20</v>
      </c>
      <c r="D22" s="15">
        <v>2500</v>
      </c>
      <c r="E22" s="13" t="s">
        <v>12</v>
      </c>
      <c r="F22" s="13" t="s">
        <v>13</v>
      </c>
      <c r="G22" s="13" t="s">
        <v>117</v>
      </c>
      <c r="H22" s="2">
        <v>150</v>
      </c>
      <c r="I22" s="2">
        <f t="shared" si="0"/>
        <v>2350</v>
      </c>
      <c r="J22" s="8">
        <v>150</v>
      </c>
      <c r="K22" s="4"/>
    </row>
    <row r="23" spans="1:11" ht="48.75" customHeight="1" x14ac:dyDescent="0.25">
      <c r="A23" s="13">
        <v>13</v>
      </c>
      <c r="B23" s="13">
        <v>2450000</v>
      </c>
      <c r="C23" s="14" t="s">
        <v>221</v>
      </c>
      <c r="D23" s="15">
        <v>120</v>
      </c>
      <c r="E23" s="13" t="s">
        <v>12</v>
      </c>
      <c r="F23" s="13" t="s">
        <v>220</v>
      </c>
      <c r="G23" s="13" t="s">
        <v>117</v>
      </c>
      <c r="H23" s="2">
        <v>120</v>
      </c>
      <c r="I23" s="2">
        <f t="shared" si="0"/>
        <v>0</v>
      </c>
      <c r="J23" s="8">
        <v>122</v>
      </c>
      <c r="K23" s="4"/>
    </row>
    <row r="24" spans="1:11" ht="48.75" customHeight="1" x14ac:dyDescent="0.25">
      <c r="A24" s="13">
        <v>14</v>
      </c>
      <c r="B24" s="13">
        <v>24600000</v>
      </c>
      <c r="C24" s="14" t="s">
        <v>177</v>
      </c>
      <c r="D24" s="15">
        <v>1500</v>
      </c>
      <c r="E24" s="13" t="s">
        <v>12</v>
      </c>
      <c r="F24" s="13" t="s">
        <v>13</v>
      </c>
      <c r="G24" s="13" t="s">
        <v>117</v>
      </c>
      <c r="H24" s="2">
        <v>1500</v>
      </c>
      <c r="I24" s="2">
        <f t="shared" si="0"/>
        <v>0</v>
      </c>
      <c r="J24" s="8" t="s">
        <v>187</v>
      </c>
      <c r="K24" s="4"/>
    </row>
    <row r="25" spans="1:11" ht="30.75" customHeight="1" x14ac:dyDescent="0.25">
      <c r="A25" s="13">
        <v>15</v>
      </c>
      <c r="B25" s="13">
        <v>24900000</v>
      </c>
      <c r="C25" s="14" t="s">
        <v>21</v>
      </c>
      <c r="D25" s="15">
        <v>300</v>
      </c>
      <c r="E25" s="13" t="s">
        <v>12</v>
      </c>
      <c r="F25" s="13" t="s">
        <v>13</v>
      </c>
      <c r="G25" s="13" t="s">
        <v>117</v>
      </c>
      <c r="H25" s="2"/>
      <c r="I25" s="2">
        <f t="shared" si="0"/>
        <v>300</v>
      </c>
      <c r="J25" s="8"/>
      <c r="K25" s="4"/>
    </row>
    <row r="26" spans="1:11" ht="42.75" customHeight="1" x14ac:dyDescent="0.25">
      <c r="A26" s="13">
        <v>16</v>
      </c>
      <c r="B26" s="13">
        <v>30100000</v>
      </c>
      <c r="C26" s="14" t="s">
        <v>22</v>
      </c>
      <c r="D26" s="15">
        <f>3700+2750</f>
        <v>6450</v>
      </c>
      <c r="E26" s="13" t="s">
        <v>37</v>
      </c>
      <c r="F26" s="13" t="s">
        <v>13</v>
      </c>
      <c r="G26" s="13"/>
      <c r="H26" s="2">
        <f>3681+2720</f>
        <v>6401</v>
      </c>
      <c r="I26" s="2">
        <f>D26-H26</f>
        <v>49</v>
      </c>
      <c r="J26" s="8" t="s">
        <v>226</v>
      </c>
      <c r="K26" s="4"/>
    </row>
    <row r="27" spans="1:11" ht="44.25" customHeight="1" x14ac:dyDescent="0.25">
      <c r="A27" s="13">
        <v>17</v>
      </c>
      <c r="B27" s="13">
        <v>30100000</v>
      </c>
      <c r="C27" s="14" t="s">
        <v>22</v>
      </c>
      <c r="D27" s="15">
        <v>6050</v>
      </c>
      <c r="E27" s="13" t="s">
        <v>23</v>
      </c>
      <c r="F27" s="13" t="s">
        <v>13</v>
      </c>
      <c r="G27" s="13"/>
      <c r="H27" s="2">
        <f>1455+4592.5</f>
        <v>6047.5</v>
      </c>
      <c r="I27" s="13">
        <f t="shared" si="0"/>
        <v>2.5</v>
      </c>
      <c r="J27" s="8" t="s">
        <v>204</v>
      </c>
      <c r="K27" s="4"/>
    </row>
    <row r="28" spans="1:11" ht="24" x14ac:dyDescent="0.25">
      <c r="A28" s="13">
        <v>18</v>
      </c>
      <c r="B28" s="13">
        <v>30200000</v>
      </c>
      <c r="C28" s="14" t="s">
        <v>24</v>
      </c>
      <c r="D28" s="15">
        <v>300</v>
      </c>
      <c r="E28" s="13" t="s">
        <v>37</v>
      </c>
      <c r="F28" s="13" t="s">
        <v>13</v>
      </c>
      <c r="G28" s="13"/>
      <c r="H28" s="2"/>
      <c r="I28" s="2">
        <f t="shared" si="0"/>
        <v>300</v>
      </c>
      <c r="J28" s="8"/>
      <c r="K28" s="4"/>
    </row>
    <row r="29" spans="1:11" ht="24" x14ac:dyDescent="0.25">
      <c r="A29" s="13">
        <v>19</v>
      </c>
      <c r="B29" s="13">
        <v>30200000</v>
      </c>
      <c r="C29" s="14" t="s">
        <v>24</v>
      </c>
      <c r="D29" s="15">
        <v>1050</v>
      </c>
      <c r="E29" s="13" t="s">
        <v>118</v>
      </c>
      <c r="F29" s="13" t="s">
        <v>13</v>
      </c>
      <c r="G29" s="13"/>
      <c r="H29" s="2">
        <f>1050</f>
        <v>1050</v>
      </c>
      <c r="I29" s="13">
        <f t="shared" si="0"/>
        <v>0</v>
      </c>
      <c r="J29" s="8" t="s">
        <v>194</v>
      </c>
      <c r="K29" s="4"/>
    </row>
    <row r="30" spans="1:11" ht="32.25" customHeight="1" x14ac:dyDescent="0.25">
      <c r="A30" s="13">
        <v>20</v>
      </c>
      <c r="B30" s="13">
        <v>31100000</v>
      </c>
      <c r="C30" s="14" t="s">
        <v>25</v>
      </c>
      <c r="D30" s="15">
        <v>200</v>
      </c>
      <c r="E30" s="13" t="s">
        <v>12</v>
      </c>
      <c r="F30" s="13" t="s">
        <v>13</v>
      </c>
      <c r="G30" s="13" t="s">
        <v>117</v>
      </c>
      <c r="H30" s="2"/>
      <c r="I30" s="2">
        <f t="shared" si="0"/>
        <v>200</v>
      </c>
      <c r="J30" s="8"/>
      <c r="K30" s="4"/>
    </row>
    <row r="31" spans="1:11" ht="28.5" customHeight="1" x14ac:dyDescent="0.25">
      <c r="A31" s="13">
        <v>21</v>
      </c>
      <c r="B31" s="13">
        <v>31200000</v>
      </c>
      <c r="C31" s="14" t="s">
        <v>26</v>
      </c>
      <c r="D31" s="15">
        <v>380</v>
      </c>
      <c r="E31" s="13" t="s">
        <v>12</v>
      </c>
      <c r="F31" s="13" t="s">
        <v>13</v>
      </c>
      <c r="G31" s="13" t="s">
        <v>117</v>
      </c>
      <c r="H31" s="2">
        <v>45</v>
      </c>
      <c r="I31" s="2">
        <f t="shared" si="0"/>
        <v>335</v>
      </c>
      <c r="J31" s="8">
        <v>122</v>
      </c>
      <c r="K31" s="4"/>
    </row>
    <row r="32" spans="1:11" s="74" customFormat="1" ht="23.25" customHeight="1" x14ac:dyDescent="0.25">
      <c r="A32" s="69">
        <v>22</v>
      </c>
      <c r="B32" s="69">
        <v>31300000</v>
      </c>
      <c r="C32" s="70" t="s">
        <v>27</v>
      </c>
      <c r="D32" s="68">
        <f>300-40-20</f>
        <v>240</v>
      </c>
      <c r="E32" s="69" t="s">
        <v>12</v>
      </c>
      <c r="F32" s="69" t="s">
        <v>13</v>
      </c>
      <c r="G32" s="69" t="s">
        <v>117</v>
      </c>
      <c r="H32" s="71">
        <v>42</v>
      </c>
      <c r="I32" s="71">
        <f t="shared" si="0"/>
        <v>198</v>
      </c>
      <c r="J32" s="72">
        <v>122</v>
      </c>
      <c r="K32" s="73"/>
    </row>
    <row r="33" spans="1:11" s="74" customFormat="1" ht="30" customHeight="1" x14ac:dyDescent="0.25">
      <c r="A33" s="69">
        <v>23</v>
      </c>
      <c r="B33" s="69">
        <v>31400000</v>
      </c>
      <c r="C33" s="70" t="s">
        <v>28</v>
      </c>
      <c r="D33" s="68">
        <f>800+40</f>
        <v>840</v>
      </c>
      <c r="E33" s="69" t="s">
        <v>12</v>
      </c>
      <c r="F33" s="69" t="s">
        <v>13</v>
      </c>
      <c r="G33" s="69" t="s">
        <v>117</v>
      </c>
      <c r="H33" s="71">
        <f>420+120+294</f>
        <v>834</v>
      </c>
      <c r="I33" s="75">
        <f t="shared" si="0"/>
        <v>6</v>
      </c>
      <c r="J33" s="72" t="s">
        <v>249</v>
      </c>
      <c r="K33" s="73"/>
    </row>
    <row r="34" spans="1:11" s="74" customFormat="1" ht="26.25" customHeight="1" x14ac:dyDescent="0.25">
      <c r="A34" s="69">
        <v>24</v>
      </c>
      <c r="B34" s="69">
        <v>31500000</v>
      </c>
      <c r="C34" s="70" t="s">
        <v>29</v>
      </c>
      <c r="D34" s="68">
        <v>1020</v>
      </c>
      <c r="E34" s="69" t="s">
        <v>12</v>
      </c>
      <c r="F34" s="69" t="s">
        <v>13</v>
      </c>
      <c r="G34" s="69" t="s">
        <v>117</v>
      </c>
      <c r="H34" s="71">
        <f>130+800</f>
        <v>930</v>
      </c>
      <c r="I34" s="71">
        <f t="shared" si="0"/>
        <v>90</v>
      </c>
      <c r="J34" s="72" t="s">
        <v>227</v>
      </c>
      <c r="K34" s="73"/>
    </row>
    <row r="35" spans="1:11" s="74" customFormat="1" ht="26.25" customHeight="1" x14ac:dyDescent="0.25">
      <c r="A35" s="69">
        <v>25</v>
      </c>
      <c r="B35" s="69">
        <v>31600000</v>
      </c>
      <c r="C35" s="70" t="s">
        <v>168</v>
      </c>
      <c r="D35" s="68">
        <f>250+20</f>
        <v>270</v>
      </c>
      <c r="E35" s="69" t="s">
        <v>12</v>
      </c>
      <c r="F35" s="69" t="s">
        <v>13</v>
      </c>
      <c r="G35" s="69" t="s">
        <v>117</v>
      </c>
      <c r="H35" s="71">
        <f>164+99</f>
        <v>263</v>
      </c>
      <c r="I35" s="71">
        <f t="shared" si="0"/>
        <v>7</v>
      </c>
      <c r="J35" s="72" t="s">
        <v>250</v>
      </c>
      <c r="K35" s="73"/>
    </row>
    <row r="36" spans="1:11" s="74" customFormat="1" ht="43.5" customHeight="1" x14ac:dyDescent="0.25">
      <c r="A36" s="69">
        <v>26</v>
      </c>
      <c r="B36" s="69">
        <v>32300000</v>
      </c>
      <c r="C36" s="70" t="s">
        <v>30</v>
      </c>
      <c r="D36" s="68">
        <v>200</v>
      </c>
      <c r="E36" s="69" t="s">
        <v>37</v>
      </c>
      <c r="F36" s="69" t="s">
        <v>13</v>
      </c>
      <c r="G36" s="69" t="s">
        <v>117</v>
      </c>
      <c r="H36" s="71"/>
      <c r="I36" s="71">
        <f t="shared" si="0"/>
        <v>200</v>
      </c>
      <c r="J36" s="72"/>
      <c r="K36" s="73"/>
    </row>
    <row r="37" spans="1:11" s="74" customFormat="1" x14ac:dyDescent="0.25">
      <c r="A37" s="69">
        <v>27</v>
      </c>
      <c r="B37" s="69">
        <v>32400000</v>
      </c>
      <c r="C37" s="70" t="s">
        <v>31</v>
      </c>
      <c r="D37" s="68">
        <v>3100</v>
      </c>
      <c r="E37" s="69" t="s">
        <v>12</v>
      </c>
      <c r="F37" s="69" t="s">
        <v>13</v>
      </c>
      <c r="G37" s="69" t="s">
        <v>117</v>
      </c>
      <c r="H37" s="71">
        <v>56</v>
      </c>
      <c r="I37" s="71">
        <f t="shared" si="0"/>
        <v>3044</v>
      </c>
      <c r="J37" s="72" t="s">
        <v>251</v>
      </c>
      <c r="K37" s="73"/>
    </row>
    <row r="38" spans="1:11" s="74" customFormat="1" ht="27.75" customHeight="1" x14ac:dyDescent="0.25">
      <c r="A38" s="69">
        <v>28</v>
      </c>
      <c r="B38" s="69">
        <v>32500000</v>
      </c>
      <c r="C38" s="70" t="s">
        <v>32</v>
      </c>
      <c r="D38" s="68">
        <v>150</v>
      </c>
      <c r="E38" s="69" t="s">
        <v>12</v>
      </c>
      <c r="F38" s="69" t="s">
        <v>13</v>
      </c>
      <c r="G38" s="69" t="s">
        <v>117</v>
      </c>
      <c r="H38" s="71"/>
      <c r="I38" s="71">
        <f t="shared" si="0"/>
        <v>150</v>
      </c>
      <c r="J38" s="72"/>
      <c r="K38" s="73"/>
    </row>
    <row r="39" spans="1:11" s="74" customFormat="1" ht="19.5" customHeight="1" x14ac:dyDescent="0.25">
      <c r="A39" s="69">
        <v>29</v>
      </c>
      <c r="B39" s="69">
        <v>33700000</v>
      </c>
      <c r="C39" s="70" t="s">
        <v>33</v>
      </c>
      <c r="D39" s="68">
        <v>3250</v>
      </c>
      <c r="E39" s="69" t="s">
        <v>12</v>
      </c>
      <c r="F39" s="69" t="s">
        <v>13</v>
      </c>
      <c r="G39" s="69" t="s">
        <v>117</v>
      </c>
      <c r="H39" s="71">
        <f>3100+140</f>
        <v>3240</v>
      </c>
      <c r="I39" s="71">
        <f t="shared" si="0"/>
        <v>10</v>
      </c>
      <c r="J39" s="72" t="s">
        <v>214</v>
      </c>
      <c r="K39" s="73"/>
    </row>
    <row r="40" spans="1:11" s="74" customFormat="1" ht="34.5" customHeight="1" x14ac:dyDescent="0.25">
      <c r="A40" s="69">
        <v>30</v>
      </c>
      <c r="B40" s="69">
        <v>35100000</v>
      </c>
      <c r="C40" s="70" t="s">
        <v>34</v>
      </c>
      <c r="D40" s="68">
        <v>350</v>
      </c>
      <c r="E40" s="69" t="s">
        <v>12</v>
      </c>
      <c r="F40" s="69" t="s">
        <v>13</v>
      </c>
      <c r="G40" s="69" t="s">
        <v>117</v>
      </c>
      <c r="H40" s="71"/>
      <c r="I40" s="71">
        <f t="shared" si="0"/>
        <v>350</v>
      </c>
      <c r="J40" s="72"/>
      <c r="K40" s="73"/>
    </row>
    <row r="41" spans="1:11" s="74" customFormat="1" ht="22.5" customHeight="1" x14ac:dyDescent="0.25">
      <c r="A41" s="69">
        <v>31</v>
      </c>
      <c r="B41" s="69">
        <v>35800000</v>
      </c>
      <c r="C41" s="70" t="s">
        <v>35</v>
      </c>
      <c r="D41" s="68">
        <v>325</v>
      </c>
      <c r="E41" s="69" t="s">
        <v>12</v>
      </c>
      <c r="F41" s="69" t="s">
        <v>13</v>
      </c>
      <c r="G41" s="69" t="s">
        <v>117</v>
      </c>
      <c r="H41" s="71"/>
      <c r="I41" s="71">
        <f t="shared" si="0"/>
        <v>325</v>
      </c>
      <c r="J41" s="72"/>
      <c r="K41" s="73"/>
    </row>
    <row r="42" spans="1:11" s="74" customFormat="1" ht="22.5" customHeight="1" x14ac:dyDescent="0.25">
      <c r="A42" s="69">
        <v>32</v>
      </c>
      <c r="B42" s="69">
        <v>38300000</v>
      </c>
      <c r="C42" s="70" t="s">
        <v>215</v>
      </c>
      <c r="D42" s="68">
        <v>50</v>
      </c>
      <c r="E42" s="69" t="s">
        <v>12</v>
      </c>
      <c r="F42" s="69" t="s">
        <v>184</v>
      </c>
      <c r="G42" s="69"/>
      <c r="H42" s="71">
        <v>50</v>
      </c>
      <c r="I42" s="69">
        <f t="shared" si="0"/>
        <v>0</v>
      </c>
      <c r="J42" s="72">
        <v>67</v>
      </c>
      <c r="K42" s="73"/>
    </row>
    <row r="43" spans="1:11" s="74" customFormat="1" ht="18.75" customHeight="1" x14ac:dyDescent="0.25">
      <c r="A43" s="69">
        <v>33</v>
      </c>
      <c r="B43" s="69">
        <v>39100000</v>
      </c>
      <c r="C43" s="70" t="s">
        <v>36</v>
      </c>
      <c r="D43" s="68">
        <f>400+700</f>
        <v>1100</v>
      </c>
      <c r="E43" s="69" t="s">
        <v>37</v>
      </c>
      <c r="F43" s="69" t="s">
        <v>13</v>
      </c>
      <c r="G43" s="69"/>
      <c r="H43" s="71">
        <v>1097.4000000000001</v>
      </c>
      <c r="I43" s="71">
        <f t="shared" si="0"/>
        <v>2.5999999999999091</v>
      </c>
      <c r="J43" s="72">
        <v>123</v>
      </c>
      <c r="K43" s="73"/>
    </row>
    <row r="44" spans="1:11" s="74" customFormat="1" ht="18.75" customHeight="1" x14ac:dyDescent="0.25">
      <c r="A44" s="69">
        <v>34</v>
      </c>
      <c r="B44" s="69">
        <v>39100000</v>
      </c>
      <c r="C44" s="70" t="s">
        <v>36</v>
      </c>
      <c r="D44" s="68">
        <v>8100</v>
      </c>
      <c r="E44" s="69" t="s">
        <v>161</v>
      </c>
      <c r="F44" s="69" t="s">
        <v>184</v>
      </c>
      <c r="G44" s="69"/>
      <c r="H44" s="71">
        <f>8000.4</f>
        <v>8000.4</v>
      </c>
      <c r="I44" s="71">
        <f t="shared" si="0"/>
        <v>99.600000000000364</v>
      </c>
      <c r="J44" s="72" t="s">
        <v>208</v>
      </c>
      <c r="K44" s="73"/>
    </row>
    <row r="45" spans="1:11" s="74" customFormat="1" ht="18.75" customHeight="1" x14ac:dyDescent="0.25">
      <c r="A45" s="69">
        <v>35</v>
      </c>
      <c r="B45" s="69">
        <v>39200000</v>
      </c>
      <c r="C45" s="70" t="s">
        <v>38</v>
      </c>
      <c r="D45" s="68">
        <f>6000-1600-2750-700-600</f>
        <v>350</v>
      </c>
      <c r="E45" s="69" t="s">
        <v>12</v>
      </c>
      <c r="F45" s="69" t="s">
        <v>13</v>
      </c>
      <c r="G45" s="69"/>
      <c r="H45" s="71">
        <f>88+190</f>
        <v>278</v>
      </c>
      <c r="I45" s="71">
        <f t="shared" si="0"/>
        <v>72</v>
      </c>
      <c r="J45" s="72" t="s">
        <v>259</v>
      </c>
      <c r="K45" s="73"/>
    </row>
    <row r="46" spans="1:11" s="74" customFormat="1" ht="18.75" customHeight="1" x14ac:dyDescent="0.25">
      <c r="A46" s="69">
        <v>36</v>
      </c>
      <c r="B46" s="69">
        <v>39300000</v>
      </c>
      <c r="C46" s="70" t="s">
        <v>149</v>
      </c>
      <c r="D46" s="68">
        <f>475-300</f>
        <v>175</v>
      </c>
      <c r="E46" s="69" t="s">
        <v>12</v>
      </c>
      <c r="F46" s="69" t="s">
        <v>13</v>
      </c>
      <c r="G46" s="69" t="s">
        <v>117</v>
      </c>
      <c r="H46" s="71"/>
      <c r="I46" s="71">
        <f t="shared" si="0"/>
        <v>175</v>
      </c>
      <c r="J46" s="72"/>
      <c r="K46" s="73"/>
    </row>
    <row r="47" spans="1:11" customFormat="1" ht="18.75" customHeight="1" x14ac:dyDescent="0.25">
      <c r="A47" s="36">
        <v>37</v>
      </c>
      <c r="B47" s="36">
        <v>39500000</v>
      </c>
      <c r="C47" s="35" t="s">
        <v>39</v>
      </c>
      <c r="D47" s="33">
        <v>2150</v>
      </c>
      <c r="E47" s="36" t="s">
        <v>12</v>
      </c>
      <c r="F47" s="36" t="s">
        <v>185</v>
      </c>
      <c r="G47" s="36" t="s">
        <v>117</v>
      </c>
      <c r="H47" s="32">
        <f>340+120</f>
        <v>460</v>
      </c>
      <c r="I47" s="32">
        <f t="shared" si="0"/>
        <v>1690</v>
      </c>
      <c r="J47" s="41">
        <v>97157</v>
      </c>
      <c r="K47" s="39"/>
    </row>
    <row r="48" spans="1:11" customFormat="1" ht="18.75" customHeight="1" x14ac:dyDescent="0.25">
      <c r="A48" s="36">
        <v>38</v>
      </c>
      <c r="B48" s="36">
        <v>39700000</v>
      </c>
      <c r="C48" s="35" t="s">
        <v>40</v>
      </c>
      <c r="D48" s="33">
        <f>700-200</f>
        <v>500</v>
      </c>
      <c r="E48" s="36" t="s">
        <v>12</v>
      </c>
      <c r="F48" s="36" t="s">
        <v>13</v>
      </c>
      <c r="G48" s="36" t="s">
        <v>117</v>
      </c>
      <c r="H48" s="32"/>
      <c r="I48" s="32">
        <f t="shared" si="0"/>
        <v>500</v>
      </c>
      <c r="J48" s="38"/>
      <c r="K48" s="39"/>
    </row>
    <row r="49" spans="1:11" customFormat="1" ht="23.25" customHeight="1" x14ac:dyDescent="0.25">
      <c r="A49" s="36">
        <v>39</v>
      </c>
      <c r="B49" s="36">
        <v>39800000</v>
      </c>
      <c r="C49" s="35" t="s">
        <v>41</v>
      </c>
      <c r="D49" s="33">
        <f>1500+800</f>
        <v>2300</v>
      </c>
      <c r="E49" s="36" t="s">
        <v>12</v>
      </c>
      <c r="F49" s="36" t="s">
        <v>13</v>
      </c>
      <c r="G49" s="36" t="s">
        <v>117</v>
      </c>
      <c r="H49" s="32">
        <f>1456+780</f>
        <v>2236</v>
      </c>
      <c r="I49" s="32">
        <f t="shared" si="0"/>
        <v>64</v>
      </c>
      <c r="J49" s="41">
        <v>97157</v>
      </c>
      <c r="K49" s="39"/>
    </row>
    <row r="50" spans="1:11" customFormat="1" ht="23.25" customHeight="1" x14ac:dyDescent="0.25">
      <c r="A50" s="36">
        <v>40</v>
      </c>
      <c r="B50" s="36">
        <v>42100000</v>
      </c>
      <c r="C50" s="35" t="s">
        <v>133</v>
      </c>
      <c r="D50" s="33">
        <v>300</v>
      </c>
      <c r="E50" s="36" t="s">
        <v>12</v>
      </c>
      <c r="F50" s="36" t="s">
        <v>13</v>
      </c>
      <c r="G50" s="36" t="s">
        <v>117</v>
      </c>
      <c r="H50" s="32"/>
      <c r="I50" s="32">
        <f t="shared" si="0"/>
        <v>300</v>
      </c>
      <c r="J50" s="38"/>
      <c r="K50" s="39"/>
    </row>
    <row r="51" spans="1:11" customFormat="1" ht="23.25" customHeight="1" x14ac:dyDescent="0.25">
      <c r="A51" s="36">
        <v>41</v>
      </c>
      <c r="B51" s="36">
        <v>42500000</v>
      </c>
      <c r="C51" s="35" t="s">
        <v>217</v>
      </c>
      <c r="D51" s="33">
        <f>4000+1900</f>
        <v>5900</v>
      </c>
      <c r="E51" s="36" t="s">
        <v>12</v>
      </c>
      <c r="F51" s="36" t="s">
        <v>184</v>
      </c>
      <c r="G51" s="36" t="s">
        <v>117</v>
      </c>
      <c r="H51" s="32">
        <f>3800+1900</f>
        <v>5700</v>
      </c>
      <c r="I51" s="32">
        <f t="shared" si="0"/>
        <v>200</v>
      </c>
      <c r="J51" s="38" t="s">
        <v>236</v>
      </c>
      <c r="K51" s="39"/>
    </row>
    <row r="52" spans="1:11" customFormat="1" ht="30" customHeight="1" x14ac:dyDescent="0.25">
      <c r="A52" s="36">
        <v>42</v>
      </c>
      <c r="B52" s="36">
        <v>42900000</v>
      </c>
      <c r="C52" s="35" t="s">
        <v>82</v>
      </c>
      <c r="D52" s="33">
        <v>1050</v>
      </c>
      <c r="E52" s="36" t="s">
        <v>12</v>
      </c>
      <c r="F52" s="36" t="s">
        <v>13</v>
      </c>
      <c r="G52" s="36" t="s">
        <v>117</v>
      </c>
      <c r="H52" s="32">
        <v>1020</v>
      </c>
      <c r="I52" s="32">
        <f t="shared" si="0"/>
        <v>30</v>
      </c>
      <c r="J52" s="38">
        <v>99</v>
      </c>
      <c r="K52" s="39"/>
    </row>
    <row r="53" spans="1:11" customFormat="1" ht="30.75" customHeight="1" x14ac:dyDescent="0.25">
      <c r="A53" s="36">
        <v>43</v>
      </c>
      <c r="B53" s="36">
        <v>44100000</v>
      </c>
      <c r="C53" s="35" t="s">
        <v>42</v>
      </c>
      <c r="D53" s="33">
        <v>500</v>
      </c>
      <c r="E53" s="36" t="s">
        <v>12</v>
      </c>
      <c r="F53" s="36" t="s">
        <v>13</v>
      </c>
      <c r="G53" s="36" t="s">
        <v>117</v>
      </c>
      <c r="H53" s="32"/>
      <c r="I53" s="32">
        <f t="shared" si="0"/>
        <v>500</v>
      </c>
      <c r="J53" s="38"/>
      <c r="K53" s="39"/>
    </row>
    <row r="54" spans="1:11" customFormat="1" ht="21.75" customHeight="1" x14ac:dyDescent="0.25">
      <c r="A54" s="36">
        <v>44</v>
      </c>
      <c r="B54" s="36">
        <v>44200000</v>
      </c>
      <c r="C54" s="35" t="s">
        <v>43</v>
      </c>
      <c r="D54" s="33">
        <v>100</v>
      </c>
      <c r="E54" s="36" t="s">
        <v>12</v>
      </c>
      <c r="F54" s="36" t="s">
        <v>13</v>
      </c>
      <c r="G54" s="36" t="s">
        <v>117</v>
      </c>
      <c r="H54" s="32"/>
      <c r="I54" s="32">
        <f t="shared" si="0"/>
        <v>100</v>
      </c>
      <c r="J54" s="38"/>
      <c r="K54" s="39"/>
    </row>
    <row r="55" spans="1:11" customFormat="1" ht="34.5" customHeight="1" x14ac:dyDescent="0.25">
      <c r="A55" s="36">
        <v>45</v>
      </c>
      <c r="B55" s="36">
        <v>44300000</v>
      </c>
      <c r="C55" s="35" t="s">
        <v>44</v>
      </c>
      <c r="D55" s="33">
        <v>100</v>
      </c>
      <c r="E55" s="36" t="s">
        <v>12</v>
      </c>
      <c r="F55" s="36" t="s">
        <v>13</v>
      </c>
      <c r="G55" s="36" t="s">
        <v>117</v>
      </c>
      <c r="H55" s="32"/>
      <c r="I55" s="32">
        <f t="shared" si="0"/>
        <v>100</v>
      </c>
      <c r="J55" s="38"/>
      <c r="K55" s="39"/>
    </row>
    <row r="56" spans="1:11" ht="30.75" customHeight="1" x14ac:dyDescent="0.25">
      <c r="A56" s="13">
        <v>46</v>
      </c>
      <c r="B56" s="13">
        <v>44400000</v>
      </c>
      <c r="C56" s="14" t="s">
        <v>45</v>
      </c>
      <c r="D56" s="15">
        <v>1000</v>
      </c>
      <c r="E56" s="13" t="s">
        <v>12</v>
      </c>
      <c r="F56" s="13" t="s">
        <v>13</v>
      </c>
      <c r="G56" s="13" t="s">
        <v>117</v>
      </c>
      <c r="H56" s="2">
        <f>283</f>
        <v>283</v>
      </c>
      <c r="I56" s="2">
        <f t="shared" si="0"/>
        <v>717</v>
      </c>
      <c r="J56" s="8">
        <v>36</v>
      </c>
      <c r="K56" s="4"/>
    </row>
    <row r="57" spans="1:11" ht="37.5" customHeight="1" x14ac:dyDescent="0.25">
      <c r="A57" s="13">
        <v>47</v>
      </c>
      <c r="B57" s="13">
        <v>44500000</v>
      </c>
      <c r="C57" s="14" t="s">
        <v>46</v>
      </c>
      <c r="D57" s="15">
        <v>1000</v>
      </c>
      <c r="E57" s="13" t="s">
        <v>12</v>
      </c>
      <c r="F57" s="13" t="s">
        <v>13</v>
      </c>
      <c r="G57" s="13" t="s">
        <v>117</v>
      </c>
      <c r="H57" s="2">
        <v>639</v>
      </c>
      <c r="I57" s="2">
        <f t="shared" si="0"/>
        <v>361</v>
      </c>
      <c r="J57" s="8">
        <v>122</v>
      </c>
      <c r="K57" s="4"/>
    </row>
    <row r="58" spans="1:11" ht="36" customHeight="1" x14ac:dyDescent="0.25">
      <c r="A58" s="13">
        <v>48</v>
      </c>
      <c r="B58" s="13">
        <v>44600000</v>
      </c>
      <c r="C58" s="14" t="s">
        <v>47</v>
      </c>
      <c r="D58" s="15">
        <v>490</v>
      </c>
      <c r="E58" s="13" t="s">
        <v>12</v>
      </c>
      <c r="F58" s="13" t="s">
        <v>13</v>
      </c>
      <c r="G58" s="13" t="s">
        <v>117</v>
      </c>
      <c r="H58" s="2">
        <f>34.2+450</f>
        <v>484.2</v>
      </c>
      <c r="I58" s="13">
        <f t="shared" si="0"/>
        <v>5.8000000000000114</v>
      </c>
      <c r="J58" s="8" t="s">
        <v>203</v>
      </c>
      <c r="K58" s="4"/>
    </row>
    <row r="59" spans="1:11" customFormat="1" ht="36" customHeight="1" x14ac:dyDescent="0.25">
      <c r="A59" s="36">
        <v>49</v>
      </c>
      <c r="B59" s="36">
        <v>45400000</v>
      </c>
      <c r="C59" s="35" t="s">
        <v>92</v>
      </c>
      <c r="D59" s="33">
        <f>1500-1200</f>
        <v>300</v>
      </c>
      <c r="E59" s="36" t="s">
        <v>172</v>
      </c>
      <c r="F59" s="36" t="s">
        <v>13</v>
      </c>
      <c r="G59" s="36" t="s">
        <v>105</v>
      </c>
      <c r="H59" s="32"/>
      <c r="I59" s="32">
        <f t="shared" si="0"/>
        <v>300</v>
      </c>
      <c r="J59" s="38"/>
      <c r="K59" s="39"/>
    </row>
    <row r="60" spans="1:11" customFormat="1" ht="32.25" customHeight="1" x14ac:dyDescent="0.25">
      <c r="A60" s="36">
        <v>50</v>
      </c>
      <c r="B60" s="36">
        <v>48200000</v>
      </c>
      <c r="C60" s="35" t="s">
        <v>48</v>
      </c>
      <c r="D60" s="33">
        <f>1000-700</f>
        <v>300</v>
      </c>
      <c r="E60" s="36" t="s">
        <v>12</v>
      </c>
      <c r="F60" s="36" t="s">
        <v>13</v>
      </c>
      <c r="G60" s="36" t="s">
        <v>117</v>
      </c>
      <c r="H60" s="32"/>
      <c r="I60" s="32">
        <f t="shared" si="0"/>
        <v>300</v>
      </c>
      <c r="J60" s="38"/>
      <c r="K60" s="39"/>
    </row>
    <row r="61" spans="1:11" ht="45" customHeight="1" x14ac:dyDescent="0.25">
      <c r="A61" s="13">
        <v>51</v>
      </c>
      <c r="B61" s="13">
        <v>48300000</v>
      </c>
      <c r="C61" s="14" t="s">
        <v>49</v>
      </c>
      <c r="D61" s="15">
        <v>400</v>
      </c>
      <c r="E61" s="13" t="s">
        <v>12</v>
      </c>
      <c r="F61" s="13" t="s">
        <v>13</v>
      </c>
      <c r="G61" s="13" t="s">
        <v>117</v>
      </c>
      <c r="H61" s="2"/>
      <c r="I61" s="2">
        <f t="shared" si="0"/>
        <v>400</v>
      </c>
      <c r="J61" s="8"/>
      <c r="K61" s="4"/>
    </row>
    <row r="62" spans="1:11" ht="25.5" customHeight="1" x14ac:dyDescent="0.25">
      <c r="A62" s="13">
        <v>52</v>
      </c>
      <c r="B62" s="13">
        <v>48700000</v>
      </c>
      <c r="C62" s="14" t="s">
        <v>123</v>
      </c>
      <c r="D62" s="15">
        <v>400</v>
      </c>
      <c r="E62" s="13" t="s">
        <v>12</v>
      </c>
      <c r="F62" s="13" t="s">
        <v>13</v>
      </c>
      <c r="G62" s="13" t="s">
        <v>117</v>
      </c>
      <c r="H62" s="2"/>
      <c r="I62" s="2">
        <f t="shared" si="0"/>
        <v>400</v>
      </c>
      <c r="J62" s="8"/>
      <c r="K62" s="4"/>
    </row>
    <row r="63" spans="1:11" s="74" customFormat="1" ht="69" customHeight="1" x14ac:dyDescent="0.25">
      <c r="A63" s="69">
        <v>53</v>
      </c>
      <c r="B63" s="69">
        <v>50300000</v>
      </c>
      <c r="C63" s="70" t="s">
        <v>116</v>
      </c>
      <c r="D63" s="68">
        <v>1500</v>
      </c>
      <c r="E63" s="69" t="s">
        <v>12</v>
      </c>
      <c r="F63" s="69" t="s">
        <v>13</v>
      </c>
      <c r="G63" s="69" t="s">
        <v>117</v>
      </c>
      <c r="H63" s="71">
        <f>220+391</f>
        <v>611</v>
      </c>
      <c r="I63" s="71">
        <f t="shared" si="0"/>
        <v>889</v>
      </c>
      <c r="J63" s="72" t="s">
        <v>252</v>
      </c>
      <c r="K63" s="73"/>
    </row>
    <row r="64" spans="1:11" s="74" customFormat="1" ht="33" customHeight="1" x14ac:dyDescent="0.25">
      <c r="A64" s="69">
        <v>54</v>
      </c>
      <c r="B64" s="69">
        <v>50400000</v>
      </c>
      <c r="C64" s="70" t="s">
        <v>50</v>
      </c>
      <c r="D64" s="68">
        <v>200</v>
      </c>
      <c r="E64" s="69" t="s">
        <v>12</v>
      </c>
      <c r="F64" s="69" t="s">
        <v>13</v>
      </c>
      <c r="G64" s="69" t="s">
        <v>117</v>
      </c>
      <c r="H64" s="71"/>
      <c r="I64" s="71">
        <f t="shared" si="0"/>
        <v>200</v>
      </c>
      <c r="J64" s="72"/>
      <c r="K64" s="73"/>
    </row>
    <row r="65" spans="1:11" s="74" customFormat="1" ht="43.5" customHeight="1" x14ac:dyDescent="0.25">
      <c r="A65" s="69">
        <v>55</v>
      </c>
      <c r="B65" s="69">
        <v>50500000</v>
      </c>
      <c r="C65" s="70" t="s">
        <v>51</v>
      </c>
      <c r="D65" s="68">
        <v>200</v>
      </c>
      <c r="E65" s="69" t="s">
        <v>12</v>
      </c>
      <c r="F65" s="69" t="s">
        <v>13</v>
      </c>
      <c r="G65" s="69" t="s">
        <v>117</v>
      </c>
      <c r="H65" s="71"/>
      <c r="I65" s="71">
        <f t="shared" si="0"/>
        <v>200</v>
      </c>
      <c r="J65" s="72"/>
      <c r="K65" s="73"/>
    </row>
    <row r="66" spans="1:11" s="74" customFormat="1" ht="35.25" customHeight="1" x14ac:dyDescent="0.25">
      <c r="A66" s="69">
        <v>56</v>
      </c>
      <c r="B66" s="69">
        <v>50700000</v>
      </c>
      <c r="C66" s="70" t="s">
        <v>52</v>
      </c>
      <c r="D66" s="68">
        <f>400+1600</f>
        <v>2000</v>
      </c>
      <c r="E66" s="69" t="s">
        <v>12</v>
      </c>
      <c r="F66" s="69" t="s">
        <v>13</v>
      </c>
      <c r="G66" s="69" t="s">
        <v>117</v>
      </c>
      <c r="H66" s="71">
        <v>2000</v>
      </c>
      <c r="I66" s="71">
        <f t="shared" si="0"/>
        <v>0</v>
      </c>
      <c r="J66" s="72">
        <v>132</v>
      </c>
      <c r="K66" s="73"/>
    </row>
    <row r="67" spans="1:11" s="74" customFormat="1" ht="33.75" customHeight="1" x14ac:dyDescent="0.25">
      <c r="A67" s="69">
        <v>57</v>
      </c>
      <c r="B67" s="69">
        <v>50800000</v>
      </c>
      <c r="C67" s="70" t="s">
        <v>53</v>
      </c>
      <c r="D67" s="68">
        <v>200</v>
      </c>
      <c r="E67" s="69" t="s">
        <v>12</v>
      </c>
      <c r="F67" s="69" t="s">
        <v>13</v>
      </c>
      <c r="G67" s="69" t="s">
        <v>117</v>
      </c>
      <c r="H67" s="71"/>
      <c r="I67" s="71">
        <f t="shared" si="0"/>
        <v>200</v>
      </c>
      <c r="J67" s="72"/>
      <c r="K67" s="73"/>
    </row>
    <row r="68" spans="1:11" s="74" customFormat="1" ht="23.25" customHeight="1" x14ac:dyDescent="0.25">
      <c r="A68" s="69">
        <v>58</v>
      </c>
      <c r="B68" s="69">
        <v>63100000</v>
      </c>
      <c r="C68" s="70" t="s">
        <v>54</v>
      </c>
      <c r="D68" s="68">
        <f>150+800</f>
        <v>950</v>
      </c>
      <c r="E68" s="69" t="s">
        <v>12</v>
      </c>
      <c r="F68" s="69" t="s">
        <v>13</v>
      </c>
      <c r="G68" s="69" t="s">
        <v>117</v>
      </c>
      <c r="H68" s="71">
        <v>950</v>
      </c>
      <c r="I68" s="71">
        <f t="shared" si="0"/>
        <v>0</v>
      </c>
      <c r="J68" s="72" t="s">
        <v>237</v>
      </c>
      <c r="K68" s="73"/>
    </row>
    <row r="69" spans="1:11" s="78" customFormat="1" ht="24" customHeight="1" x14ac:dyDescent="0.25">
      <c r="A69" s="69">
        <v>59</v>
      </c>
      <c r="B69" s="69">
        <v>64100000</v>
      </c>
      <c r="C69" s="70" t="s">
        <v>55</v>
      </c>
      <c r="D69" s="68">
        <v>4000</v>
      </c>
      <c r="E69" s="69" t="s">
        <v>12</v>
      </c>
      <c r="F69" s="69" t="s">
        <v>13</v>
      </c>
      <c r="G69" s="69" t="s">
        <v>117</v>
      </c>
      <c r="H69" s="69">
        <f>200+3000</f>
        <v>3200</v>
      </c>
      <c r="I69" s="71">
        <f t="shared" si="0"/>
        <v>800</v>
      </c>
      <c r="J69" s="76" t="s">
        <v>190</v>
      </c>
      <c r="K69" s="77"/>
    </row>
    <row r="70" spans="1:11" s="74" customFormat="1" ht="22.5" customHeight="1" x14ac:dyDescent="0.25">
      <c r="A70" s="69">
        <v>60</v>
      </c>
      <c r="B70" s="69">
        <v>64200000</v>
      </c>
      <c r="C70" s="70" t="s">
        <v>56</v>
      </c>
      <c r="D70" s="68">
        <v>19000</v>
      </c>
      <c r="E70" s="69" t="s">
        <v>23</v>
      </c>
      <c r="F70" s="69" t="s">
        <v>13</v>
      </c>
      <c r="G70" s="70"/>
      <c r="H70" s="70"/>
      <c r="I70" s="71">
        <f t="shared" si="0"/>
        <v>19000</v>
      </c>
      <c r="J70" s="72" t="s">
        <v>216</v>
      </c>
      <c r="K70" s="73"/>
    </row>
    <row r="71" spans="1:11" s="74" customFormat="1" ht="21.75" customHeight="1" x14ac:dyDescent="0.25">
      <c r="A71" s="69">
        <v>61</v>
      </c>
      <c r="B71" s="69">
        <v>64200000</v>
      </c>
      <c r="C71" s="70" t="s">
        <v>56</v>
      </c>
      <c r="D71" s="68">
        <v>5500</v>
      </c>
      <c r="E71" s="69" t="s">
        <v>12</v>
      </c>
      <c r="F71" s="69" t="s">
        <v>13</v>
      </c>
      <c r="G71" s="69" t="s">
        <v>117</v>
      </c>
      <c r="H71" s="71">
        <f>1000+2520</f>
        <v>3520</v>
      </c>
      <c r="I71" s="71">
        <f t="shared" si="0"/>
        <v>1980</v>
      </c>
      <c r="J71" s="72" t="s">
        <v>199</v>
      </c>
      <c r="K71" s="73"/>
    </row>
    <row r="72" spans="1:11" s="74" customFormat="1" ht="36.75" customHeight="1" x14ac:dyDescent="0.25">
      <c r="A72" s="69">
        <v>62</v>
      </c>
      <c r="B72" s="69">
        <v>72400000</v>
      </c>
      <c r="C72" s="70" t="s">
        <v>58</v>
      </c>
      <c r="D72" s="68">
        <v>14990</v>
      </c>
      <c r="E72" s="69" t="s">
        <v>12</v>
      </c>
      <c r="F72" s="69" t="s">
        <v>13</v>
      </c>
      <c r="G72" s="70" t="s">
        <v>124</v>
      </c>
      <c r="H72" s="79">
        <f>1200+12000+1760+30</f>
        <v>14990</v>
      </c>
      <c r="I72" s="69">
        <f t="shared" si="0"/>
        <v>0</v>
      </c>
      <c r="J72" s="72" t="s">
        <v>206</v>
      </c>
      <c r="K72" s="73"/>
    </row>
    <row r="73" spans="1:11" s="74" customFormat="1" ht="26.25" customHeight="1" x14ac:dyDescent="0.25">
      <c r="A73" s="69">
        <v>63</v>
      </c>
      <c r="B73" s="69">
        <v>72700000</v>
      </c>
      <c r="C73" s="70" t="s">
        <v>120</v>
      </c>
      <c r="D73" s="68">
        <v>500</v>
      </c>
      <c r="E73" s="69" t="s">
        <v>12</v>
      </c>
      <c r="F73" s="69" t="s">
        <v>13</v>
      </c>
      <c r="G73" s="70" t="s">
        <v>117</v>
      </c>
      <c r="H73" s="79"/>
      <c r="I73" s="71">
        <f t="shared" si="0"/>
        <v>500</v>
      </c>
      <c r="J73" s="72"/>
      <c r="K73" s="73"/>
    </row>
    <row r="74" spans="1:11" s="74" customFormat="1" ht="26.25" customHeight="1" x14ac:dyDescent="0.25">
      <c r="A74" s="69">
        <v>64</v>
      </c>
      <c r="B74" s="69">
        <v>72800000</v>
      </c>
      <c r="C74" s="70" t="s">
        <v>158</v>
      </c>
      <c r="D74" s="68">
        <v>400</v>
      </c>
      <c r="E74" s="69" t="s">
        <v>12</v>
      </c>
      <c r="F74" s="69" t="s">
        <v>157</v>
      </c>
      <c r="G74" s="70" t="s">
        <v>117</v>
      </c>
      <c r="H74" s="79"/>
      <c r="I74" s="71">
        <f t="shared" si="0"/>
        <v>400</v>
      </c>
      <c r="J74" s="72"/>
      <c r="K74" s="73"/>
    </row>
    <row r="75" spans="1:11" s="74" customFormat="1" ht="26.25" customHeight="1" x14ac:dyDescent="0.25">
      <c r="A75" s="69">
        <v>65</v>
      </c>
      <c r="B75" s="69">
        <v>79100000</v>
      </c>
      <c r="C75" s="70" t="s">
        <v>166</v>
      </c>
      <c r="D75" s="68">
        <v>200</v>
      </c>
      <c r="E75" s="69" t="s">
        <v>12</v>
      </c>
      <c r="F75" s="69" t="s">
        <v>13</v>
      </c>
      <c r="G75" s="70" t="s">
        <v>117</v>
      </c>
      <c r="H75" s="79"/>
      <c r="I75" s="71">
        <f t="shared" si="0"/>
        <v>200</v>
      </c>
      <c r="J75" s="72"/>
      <c r="K75" s="73"/>
    </row>
    <row r="76" spans="1:11" s="74" customFormat="1" x14ac:dyDescent="0.25">
      <c r="A76" s="69">
        <v>66</v>
      </c>
      <c r="B76" s="69">
        <v>79200000</v>
      </c>
      <c r="C76" s="70" t="s">
        <v>59</v>
      </c>
      <c r="D76" s="68">
        <f>400+400</f>
        <v>800</v>
      </c>
      <c r="E76" s="69" t="s">
        <v>12</v>
      </c>
      <c r="F76" s="69" t="s">
        <v>13</v>
      </c>
      <c r="G76" s="70" t="s">
        <v>117</v>
      </c>
      <c r="H76" s="79">
        <v>800</v>
      </c>
      <c r="I76" s="75">
        <f t="shared" si="0"/>
        <v>0</v>
      </c>
      <c r="J76" s="72" t="s">
        <v>246</v>
      </c>
      <c r="K76" s="73"/>
    </row>
    <row r="77" spans="1:11" s="74" customFormat="1" ht="27.75" customHeight="1" x14ac:dyDescent="0.25">
      <c r="A77" s="69">
        <v>67</v>
      </c>
      <c r="B77" s="69">
        <v>90900000</v>
      </c>
      <c r="C77" s="70" t="s">
        <v>61</v>
      </c>
      <c r="D77" s="68">
        <v>1100</v>
      </c>
      <c r="E77" s="69" t="s">
        <v>12</v>
      </c>
      <c r="F77" s="69" t="s">
        <v>13</v>
      </c>
      <c r="G77" s="70" t="s">
        <v>117</v>
      </c>
      <c r="H77" s="79">
        <f>1100</f>
        <v>1100</v>
      </c>
      <c r="I77" s="71">
        <f t="shared" si="0"/>
        <v>0</v>
      </c>
      <c r="J77" s="72">
        <v>50</v>
      </c>
      <c r="K77" s="73"/>
    </row>
    <row r="78" spans="1:11" s="74" customFormat="1" ht="24.75" customHeight="1" x14ac:dyDescent="0.25">
      <c r="A78" s="69">
        <v>68</v>
      </c>
      <c r="B78" s="69">
        <v>92200000</v>
      </c>
      <c r="C78" s="70" t="s">
        <v>62</v>
      </c>
      <c r="D78" s="68">
        <f>2500-400-60</f>
        <v>2040</v>
      </c>
      <c r="E78" s="69" t="s">
        <v>12</v>
      </c>
      <c r="F78" s="69" t="s">
        <v>13</v>
      </c>
      <c r="G78" s="70" t="s">
        <v>117</v>
      </c>
      <c r="H78" s="79">
        <f>1305.49+585</f>
        <v>1890.49</v>
      </c>
      <c r="I78" s="71">
        <f t="shared" si="0"/>
        <v>149.51</v>
      </c>
      <c r="J78" s="72" t="s">
        <v>198</v>
      </c>
      <c r="K78" s="73"/>
    </row>
    <row r="79" spans="1:11" s="74" customFormat="1" ht="21.75" customHeight="1" x14ac:dyDescent="0.25">
      <c r="A79" s="69">
        <v>69</v>
      </c>
      <c r="B79" s="69">
        <v>98300000</v>
      </c>
      <c r="C79" s="70" t="s">
        <v>63</v>
      </c>
      <c r="D79" s="68">
        <f>500+60</f>
        <v>560</v>
      </c>
      <c r="E79" s="69" t="s">
        <v>12</v>
      </c>
      <c r="F79" s="69" t="s">
        <v>13</v>
      </c>
      <c r="G79" s="70" t="s">
        <v>117</v>
      </c>
      <c r="H79" s="79">
        <v>560</v>
      </c>
      <c r="I79" s="71">
        <f t="shared" ref="I79:I104" si="1">D79-H79</f>
        <v>0</v>
      </c>
      <c r="J79" s="72" t="s">
        <v>258</v>
      </c>
      <c r="K79" s="73"/>
    </row>
    <row r="80" spans="1:11" s="74" customFormat="1" ht="20.25" customHeight="1" x14ac:dyDescent="0.25">
      <c r="A80" s="80" t="s">
        <v>64</v>
      </c>
      <c r="B80" s="81"/>
      <c r="C80" s="82"/>
      <c r="D80" s="83">
        <f>SUM(D81:D99)</f>
        <v>40000</v>
      </c>
      <c r="E80" s="69"/>
      <c r="F80" s="69"/>
      <c r="G80" s="70"/>
      <c r="H80" s="79"/>
      <c r="I80" s="71"/>
      <c r="J80" s="72"/>
      <c r="K80" s="73"/>
    </row>
    <row r="81" spans="1:11" s="74" customFormat="1" ht="36" x14ac:dyDescent="0.25">
      <c r="A81" s="69">
        <v>1</v>
      </c>
      <c r="B81" s="69" t="s">
        <v>65</v>
      </c>
      <c r="C81" s="70" t="s">
        <v>66</v>
      </c>
      <c r="D81" s="68">
        <v>2000</v>
      </c>
      <c r="E81" s="69" t="s">
        <v>12</v>
      </c>
      <c r="F81" s="69" t="s">
        <v>13</v>
      </c>
      <c r="G81" s="70" t="s">
        <v>67</v>
      </c>
      <c r="H81" s="79"/>
      <c r="I81" s="71">
        <f t="shared" si="1"/>
        <v>2000</v>
      </c>
      <c r="J81" s="72"/>
      <c r="K81" s="73"/>
    </row>
    <row r="82" spans="1:11" s="74" customFormat="1" ht="36" x14ac:dyDescent="0.25">
      <c r="A82" s="69">
        <v>2</v>
      </c>
      <c r="B82" s="69">
        <v>15300000</v>
      </c>
      <c r="C82" s="70" t="s">
        <v>121</v>
      </c>
      <c r="D82" s="68">
        <f>1000+400</f>
        <v>1400</v>
      </c>
      <c r="E82" s="69" t="s">
        <v>12</v>
      </c>
      <c r="F82" s="69" t="s">
        <v>13</v>
      </c>
      <c r="G82" s="70" t="s">
        <v>67</v>
      </c>
      <c r="H82" s="79">
        <f>1000+400</f>
        <v>1400</v>
      </c>
      <c r="I82" s="71">
        <f t="shared" si="1"/>
        <v>0</v>
      </c>
      <c r="J82" s="72" t="s">
        <v>254</v>
      </c>
      <c r="K82" s="73"/>
    </row>
    <row r="83" spans="1:11" s="74" customFormat="1" ht="36" x14ac:dyDescent="0.25">
      <c r="A83" s="69">
        <v>3</v>
      </c>
      <c r="B83" s="69">
        <v>15500000</v>
      </c>
      <c r="C83" s="69" t="s">
        <v>68</v>
      </c>
      <c r="D83" s="68">
        <v>100</v>
      </c>
      <c r="E83" s="69" t="s">
        <v>12</v>
      </c>
      <c r="F83" s="69" t="s">
        <v>13</v>
      </c>
      <c r="G83" s="70" t="s">
        <v>67</v>
      </c>
      <c r="H83" s="79"/>
      <c r="I83" s="71">
        <f t="shared" si="1"/>
        <v>100</v>
      </c>
      <c r="J83" s="72"/>
      <c r="K83" s="73"/>
    </row>
    <row r="84" spans="1:11" s="74" customFormat="1" ht="36" x14ac:dyDescent="0.25">
      <c r="A84" s="69">
        <v>4</v>
      </c>
      <c r="B84" s="69">
        <v>15800000</v>
      </c>
      <c r="C84" s="69" t="s">
        <v>69</v>
      </c>
      <c r="D84" s="68">
        <v>5500</v>
      </c>
      <c r="E84" s="69" t="s">
        <v>12</v>
      </c>
      <c r="F84" s="69" t="s">
        <v>13</v>
      </c>
      <c r="G84" s="70" t="s">
        <v>67</v>
      </c>
      <c r="H84" s="79">
        <f>1900+2500</f>
        <v>4400</v>
      </c>
      <c r="I84" s="71">
        <f t="shared" si="1"/>
        <v>1100</v>
      </c>
      <c r="J84" s="72" t="s">
        <v>254</v>
      </c>
      <c r="K84" s="73"/>
    </row>
    <row r="85" spans="1:11" s="74" customFormat="1" ht="36" x14ac:dyDescent="0.25">
      <c r="A85" s="69">
        <v>5</v>
      </c>
      <c r="B85" s="69">
        <v>15900000</v>
      </c>
      <c r="C85" s="70" t="s">
        <v>70</v>
      </c>
      <c r="D85" s="68">
        <v>2500</v>
      </c>
      <c r="E85" s="69" t="s">
        <v>12</v>
      </c>
      <c r="F85" s="69" t="s">
        <v>13</v>
      </c>
      <c r="G85" s="70" t="s">
        <v>67</v>
      </c>
      <c r="H85" s="79">
        <f>100+100</f>
        <v>200</v>
      </c>
      <c r="I85" s="71">
        <f t="shared" si="1"/>
        <v>2300</v>
      </c>
      <c r="J85" s="72" t="s">
        <v>254</v>
      </c>
      <c r="K85" s="73"/>
    </row>
    <row r="86" spans="1:11" s="74" customFormat="1" ht="36.75" customHeight="1" x14ac:dyDescent="0.25">
      <c r="A86" s="69">
        <v>6</v>
      </c>
      <c r="B86" s="69">
        <v>18500000</v>
      </c>
      <c r="C86" s="70" t="s">
        <v>14</v>
      </c>
      <c r="D86" s="68">
        <f>4000-1000</f>
        <v>3000</v>
      </c>
      <c r="E86" s="69" t="s">
        <v>12</v>
      </c>
      <c r="F86" s="69" t="s">
        <v>13</v>
      </c>
      <c r="G86" s="70" t="s">
        <v>67</v>
      </c>
      <c r="H86" s="79"/>
      <c r="I86" s="71">
        <f t="shared" si="1"/>
        <v>3000</v>
      </c>
      <c r="J86" s="72"/>
      <c r="K86" s="73"/>
    </row>
    <row r="87" spans="1:11" s="74" customFormat="1" ht="36.75" customHeight="1" x14ac:dyDescent="0.25">
      <c r="A87" s="69">
        <v>7</v>
      </c>
      <c r="B87" s="69">
        <v>22100000</v>
      </c>
      <c r="C87" s="70" t="s">
        <v>99</v>
      </c>
      <c r="D87" s="68">
        <v>520</v>
      </c>
      <c r="E87" s="69" t="s">
        <v>12</v>
      </c>
      <c r="F87" s="69" t="s">
        <v>13</v>
      </c>
      <c r="G87" s="70" t="s">
        <v>67</v>
      </c>
      <c r="H87" s="79"/>
      <c r="I87" s="71">
        <f t="shared" si="1"/>
        <v>520</v>
      </c>
      <c r="J87" s="72"/>
      <c r="K87" s="73"/>
    </row>
    <row r="88" spans="1:11" s="74" customFormat="1" ht="40.5" customHeight="1" x14ac:dyDescent="0.25">
      <c r="A88" s="69">
        <v>8</v>
      </c>
      <c r="B88" s="69">
        <v>22300000</v>
      </c>
      <c r="C88" s="70" t="s">
        <v>18</v>
      </c>
      <c r="D88" s="68">
        <v>300</v>
      </c>
      <c r="E88" s="69" t="s">
        <v>12</v>
      </c>
      <c r="F88" s="69" t="s">
        <v>13</v>
      </c>
      <c r="G88" s="70" t="s">
        <v>67</v>
      </c>
      <c r="H88" s="79"/>
      <c r="I88" s="71">
        <f t="shared" si="1"/>
        <v>300</v>
      </c>
      <c r="J88" s="72"/>
      <c r="K88" s="73"/>
    </row>
    <row r="89" spans="1:11" customFormat="1" ht="40.5" customHeight="1" x14ac:dyDescent="0.25">
      <c r="A89" s="36">
        <v>9</v>
      </c>
      <c r="B89" s="36">
        <v>22400000</v>
      </c>
      <c r="C89" s="35" t="s">
        <v>19</v>
      </c>
      <c r="D89" s="33">
        <v>180</v>
      </c>
      <c r="E89" s="36" t="s">
        <v>12</v>
      </c>
      <c r="F89" s="36" t="s">
        <v>184</v>
      </c>
      <c r="G89" s="35" t="s">
        <v>67</v>
      </c>
      <c r="H89" s="37">
        <f>180</f>
        <v>180</v>
      </c>
      <c r="I89" s="32">
        <f t="shared" si="1"/>
        <v>0</v>
      </c>
      <c r="J89" s="38">
        <v>91</v>
      </c>
      <c r="K89" s="39"/>
    </row>
    <row r="90" spans="1:11" customFormat="1" ht="37.5" customHeight="1" x14ac:dyDescent="0.25">
      <c r="A90" s="36">
        <v>10</v>
      </c>
      <c r="B90" s="36">
        <v>24900000</v>
      </c>
      <c r="C90" s="35" t="s">
        <v>21</v>
      </c>
      <c r="D90" s="33">
        <v>100</v>
      </c>
      <c r="E90" s="36" t="s">
        <v>12</v>
      </c>
      <c r="F90" s="36" t="s">
        <v>13</v>
      </c>
      <c r="G90" s="35" t="s">
        <v>67</v>
      </c>
      <c r="H90" s="37"/>
      <c r="I90" s="32">
        <f t="shared" si="1"/>
        <v>100</v>
      </c>
      <c r="J90" s="38"/>
      <c r="K90" s="39"/>
    </row>
    <row r="91" spans="1:11" customFormat="1" ht="37.5" customHeight="1" x14ac:dyDescent="0.25">
      <c r="A91" s="36">
        <v>11</v>
      </c>
      <c r="B91" s="36">
        <v>30100000</v>
      </c>
      <c r="C91" s="35" t="s">
        <v>22</v>
      </c>
      <c r="D91" s="33">
        <v>1000</v>
      </c>
      <c r="E91" s="36" t="s">
        <v>12</v>
      </c>
      <c r="F91" s="36" t="s">
        <v>13</v>
      </c>
      <c r="G91" s="35" t="s">
        <v>67</v>
      </c>
      <c r="H91" s="37"/>
      <c r="I91" s="32">
        <f t="shared" si="1"/>
        <v>1000</v>
      </c>
      <c r="J91" s="38"/>
      <c r="K91" s="39"/>
    </row>
    <row r="92" spans="1:11" customFormat="1" ht="32.25" customHeight="1" x14ac:dyDescent="0.25">
      <c r="A92" s="36">
        <v>12</v>
      </c>
      <c r="B92" s="36">
        <v>33700000</v>
      </c>
      <c r="C92" s="35" t="s">
        <v>33</v>
      </c>
      <c r="D92" s="33">
        <v>100</v>
      </c>
      <c r="E92" s="36" t="s">
        <v>12</v>
      </c>
      <c r="F92" s="36" t="s">
        <v>13</v>
      </c>
      <c r="G92" s="35" t="s">
        <v>67</v>
      </c>
      <c r="H92" s="37"/>
      <c r="I92" s="32">
        <f t="shared" si="1"/>
        <v>100</v>
      </c>
      <c r="J92" s="38"/>
      <c r="K92" s="39"/>
    </row>
    <row r="93" spans="1:11" customFormat="1" ht="41.25" customHeight="1" x14ac:dyDescent="0.25">
      <c r="A93" s="36">
        <v>13</v>
      </c>
      <c r="B93" s="36">
        <v>37800000</v>
      </c>
      <c r="C93" s="35" t="s">
        <v>155</v>
      </c>
      <c r="D93" s="33">
        <v>100</v>
      </c>
      <c r="E93" s="36" t="s">
        <v>12</v>
      </c>
      <c r="F93" s="36" t="s">
        <v>13</v>
      </c>
      <c r="G93" s="35" t="s">
        <v>67</v>
      </c>
      <c r="H93" s="37"/>
      <c r="I93" s="32">
        <f t="shared" si="1"/>
        <v>100</v>
      </c>
      <c r="J93" s="38"/>
      <c r="K93" s="39"/>
    </row>
    <row r="94" spans="1:11" customFormat="1" ht="37.5" customHeight="1" x14ac:dyDescent="0.25">
      <c r="A94" s="36">
        <v>14</v>
      </c>
      <c r="B94" s="36">
        <v>39200000</v>
      </c>
      <c r="C94" s="35" t="s">
        <v>38</v>
      </c>
      <c r="D94" s="33">
        <v>2000</v>
      </c>
      <c r="E94" s="36" t="s">
        <v>12</v>
      </c>
      <c r="F94" s="36" t="s">
        <v>13</v>
      </c>
      <c r="G94" s="35" t="s">
        <v>67</v>
      </c>
      <c r="H94" s="37">
        <f>475</f>
        <v>475</v>
      </c>
      <c r="I94" s="32">
        <f t="shared" si="1"/>
        <v>1525</v>
      </c>
      <c r="J94" s="38" t="s">
        <v>201</v>
      </c>
      <c r="K94" s="39"/>
    </row>
    <row r="95" spans="1:11" customFormat="1" ht="37.5" customHeight="1" x14ac:dyDescent="0.25">
      <c r="A95" s="36">
        <v>15</v>
      </c>
      <c r="B95" s="36">
        <v>41100000</v>
      </c>
      <c r="C95" s="35" t="s">
        <v>141</v>
      </c>
      <c r="D95" s="33">
        <f>4500+2400+1000</f>
        <v>7900</v>
      </c>
      <c r="E95" s="36" t="s">
        <v>12</v>
      </c>
      <c r="F95" s="36" t="s">
        <v>13</v>
      </c>
      <c r="G95" s="35" t="s">
        <v>67</v>
      </c>
      <c r="H95" s="37">
        <f>3200+1300+2400+975</f>
        <v>7875</v>
      </c>
      <c r="I95" s="36">
        <f t="shared" si="1"/>
        <v>25</v>
      </c>
      <c r="J95" s="42" t="s">
        <v>244</v>
      </c>
      <c r="K95" s="39"/>
    </row>
    <row r="96" spans="1:11" ht="48" customHeight="1" x14ac:dyDescent="0.25">
      <c r="A96" s="13">
        <v>16</v>
      </c>
      <c r="B96" s="13">
        <v>44800000</v>
      </c>
      <c r="C96" s="14" t="s">
        <v>156</v>
      </c>
      <c r="D96" s="15">
        <v>100</v>
      </c>
      <c r="E96" s="13" t="s">
        <v>12</v>
      </c>
      <c r="F96" s="13" t="s">
        <v>13</v>
      </c>
      <c r="G96" s="14" t="s">
        <v>67</v>
      </c>
      <c r="H96" s="7"/>
      <c r="I96" s="2">
        <f t="shared" si="1"/>
        <v>100</v>
      </c>
      <c r="J96" s="16"/>
      <c r="K96" s="4"/>
    </row>
    <row r="97" spans="1:11" s="74" customFormat="1" ht="42" customHeight="1" x14ac:dyDescent="0.25">
      <c r="A97" s="69">
        <v>17</v>
      </c>
      <c r="B97" s="69">
        <v>55100000</v>
      </c>
      <c r="C97" s="70" t="s">
        <v>71</v>
      </c>
      <c r="D97" s="68">
        <f>1500-400</f>
        <v>1100</v>
      </c>
      <c r="E97" s="69" t="s">
        <v>12</v>
      </c>
      <c r="F97" s="69" t="s">
        <v>13</v>
      </c>
      <c r="G97" s="70" t="s">
        <v>67</v>
      </c>
      <c r="H97" s="79"/>
      <c r="I97" s="71">
        <f t="shared" si="1"/>
        <v>1100</v>
      </c>
      <c r="J97" s="72"/>
      <c r="K97" s="73"/>
    </row>
    <row r="98" spans="1:11" s="74" customFormat="1" ht="48" customHeight="1" x14ac:dyDescent="0.25">
      <c r="A98" s="69">
        <v>18</v>
      </c>
      <c r="B98" s="69">
        <v>55300000</v>
      </c>
      <c r="C98" s="70" t="s">
        <v>72</v>
      </c>
      <c r="D98" s="68">
        <f>14000-2400</f>
        <v>11600</v>
      </c>
      <c r="E98" s="69" t="s">
        <v>12</v>
      </c>
      <c r="F98" s="69" t="s">
        <v>13</v>
      </c>
      <c r="G98" s="70" t="s">
        <v>67</v>
      </c>
      <c r="H98" s="79"/>
      <c r="I98" s="71">
        <f t="shared" si="1"/>
        <v>11600</v>
      </c>
      <c r="J98" s="72"/>
      <c r="K98" s="73"/>
    </row>
    <row r="99" spans="1:11" s="74" customFormat="1" ht="49.5" customHeight="1" x14ac:dyDescent="0.25">
      <c r="A99" s="69">
        <v>19</v>
      </c>
      <c r="B99" s="69">
        <v>55500000</v>
      </c>
      <c r="C99" s="70" t="s">
        <v>73</v>
      </c>
      <c r="D99" s="68">
        <v>500</v>
      </c>
      <c r="E99" s="69" t="s">
        <v>12</v>
      </c>
      <c r="F99" s="69" t="s">
        <v>13</v>
      </c>
      <c r="G99" s="70" t="s">
        <v>67</v>
      </c>
      <c r="H99" s="79"/>
      <c r="I99" s="71">
        <f t="shared" si="1"/>
        <v>500</v>
      </c>
      <c r="J99" s="72"/>
      <c r="K99" s="73"/>
    </row>
    <row r="100" spans="1:11" s="74" customFormat="1" ht="22.5" customHeight="1" x14ac:dyDescent="0.25">
      <c r="A100" s="80" t="s">
        <v>125</v>
      </c>
      <c r="B100" s="81"/>
      <c r="C100" s="82"/>
      <c r="D100" s="83">
        <f>SUM(D101:D104)</f>
        <v>2500</v>
      </c>
      <c r="E100" s="69"/>
      <c r="F100" s="69"/>
      <c r="G100" s="70"/>
      <c r="H100" s="79"/>
      <c r="I100" s="71"/>
      <c r="J100" s="72"/>
      <c r="K100" s="73"/>
    </row>
    <row r="101" spans="1:11" s="74" customFormat="1" x14ac:dyDescent="0.25">
      <c r="A101" s="69">
        <v>1</v>
      </c>
      <c r="B101" s="69">
        <v>33100000</v>
      </c>
      <c r="C101" s="69" t="s">
        <v>126</v>
      </c>
      <c r="D101" s="68">
        <v>1000</v>
      </c>
      <c r="E101" s="69" t="s">
        <v>12</v>
      </c>
      <c r="F101" s="69" t="s">
        <v>13</v>
      </c>
      <c r="G101" s="70" t="s">
        <v>117</v>
      </c>
      <c r="H101" s="79"/>
      <c r="I101" s="71">
        <f t="shared" si="1"/>
        <v>1000</v>
      </c>
      <c r="J101" s="72"/>
      <c r="K101" s="73"/>
    </row>
    <row r="102" spans="1:11" s="74" customFormat="1" x14ac:dyDescent="0.25">
      <c r="A102" s="69">
        <v>2</v>
      </c>
      <c r="B102" s="69">
        <v>33100000</v>
      </c>
      <c r="C102" s="69" t="s">
        <v>126</v>
      </c>
      <c r="D102" s="68">
        <v>500</v>
      </c>
      <c r="E102" s="69" t="s">
        <v>118</v>
      </c>
      <c r="F102" s="69" t="s">
        <v>13</v>
      </c>
      <c r="G102" s="70"/>
      <c r="H102" s="79"/>
      <c r="I102" s="71">
        <f t="shared" si="1"/>
        <v>500</v>
      </c>
      <c r="J102" s="72"/>
      <c r="K102" s="73"/>
    </row>
    <row r="103" spans="1:11" s="74" customFormat="1" x14ac:dyDescent="0.25">
      <c r="A103" s="69">
        <v>3</v>
      </c>
      <c r="B103" s="69">
        <v>33600000</v>
      </c>
      <c r="C103" s="70" t="s">
        <v>127</v>
      </c>
      <c r="D103" s="68">
        <v>500</v>
      </c>
      <c r="E103" s="69" t="s">
        <v>12</v>
      </c>
      <c r="F103" s="69" t="s">
        <v>13</v>
      </c>
      <c r="G103" s="70" t="s">
        <v>117</v>
      </c>
      <c r="H103" s="79"/>
      <c r="I103" s="71">
        <f t="shared" si="1"/>
        <v>500</v>
      </c>
      <c r="J103" s="72"/>
      <c r="K103" s="73"/>
    </row>
    <row r="104" spans="1:11" s="74" customFormat="1" x14ac:dyDescent="0.25">
      <c r="A104" s="69">
        <v>4</v>
      </c>
      <c r="B104" s="69">
        <v>33600000</v>
      </c>
      <c r="C104" s="70" t="s">
        <v>127</v>
      </c>
      <c r="D104" s="68">
        <v>500</v>
      </c>
      <c r="E104" s="69" t="s">
        <v>118</v>
      </c>
      <c r="F104" s="69" t="s">
        <v>13</v>
      </c>
      <c r="G104" s="70"/>
      <c r="H104" s="79"/>
      <c r="I104" s="71">
        <f t="shared" si="1"/>
        <v>500</v>
      </c>
      <c r="J104" s="72"/>
      <c r="K104" s="73"/>
    </row>
    <row r="105" spans="1:11" s="74" customFormat="1" ht="30.75" customHeight="1" x14ac:dyDescent="0.25">
      <c r="A105" s="80" t="s">
        <v>74</v>
      </c>
      <c r="B105" s="81"/>
      <c r="C105" s="82"/>
      <c r="D105" s="83">
        <f>SUM(D106:D128)</f>
        <v>132000</v>
      </c>
      <c r="E105" s="69"/>
      <c r="F105" s="69"/>
      <c r="G105" s="69"/>
      <c r="H105" s="71"/>
      <c r="I105" s="71"/>
      <c r="J105" s="72"/>
      <c r="K105" s="73"/>
    </row>
    <row r="106" spans="1:11" s="74" customFormat="1" ht="21" customHeight="1" x14ac:dyDescent="0.25">
      <c r="A106" s="69">
        <v>1</v>
      </c>
      <c r="B106" s="84" t="s">
        <v>75</v>
      </c>
      <c r="C106" s="69" t="s">
        <v>76</v>
      </c>
      <c r="D106" s="68">
        <v>73000</v>
      </c>
      <c r="E106" s="69" t="s">
        <v>23</v>
      </c>
      <c r="F106" s="69" t="s">
        <v>13</v>
      </c>
      <c r="G106" s="69"/>
      <c r="H106" s="71">
        <f>71120+24140</f>
        <v>95260</v>
      </c>
      <c r="I106" s="69">
        <f>D106-H106</f>
        <v>-22260</v>
      </c>
      <c r="J106" s="85" t="s">
        <v>188</v>
      </c>
      <c r="K106" s="71" t="s">
        <v>148</v>
      </c>
    </row>
    <row r="107" spans="1:11" s="74" customFormat="1" ht="31.5" customHeight="1" x14ac:dyDescent="0.25">
      <c r="A107" s="69">
        <v>2</v>
      </c>
      <c r="B107" s="84" t="s">
        <v>77</v>
      </c>
      <c r="C107" s="70" t="s">
        <v>78</v>
      </c>
      <c r="D107" s="68">
        <v>6500</v>
      </c>
      <c r="E107" s="69" t="s">
        <v>23</v>
      </c>
      <c r="F107" s="69" t="s">
        <v>13</v>
      </c>
      <c r="G107" s="69"/>
      <c r="H107" s="71">
        <f>1283.1+800+300</f>
        <v>2383.1</v>
      </c>
      <c r="I107" s="71">
        <f>D107-H107</f>
        <v>4116.8999999999996</v>
      </c>
      <c r="J107" s="72" t="s">
        <v>253</v>
      </c>
      <c r="K107" s="73"/>
    </row>
    <row r="108" spans="1:11" s="74" customFormat="1" ht="39" customHeight="1" x14ac:dyDescent="0.25">
      <c r="A108" s="69">
        <v>3</v>
      </c>
      <c r="B108" s="84" t="s">
        <v>77</v>
      </c>
      <c r="C108" s="70" t="s">
        <v>78</v>
      </c>
      <c r="D108" s="68">
        <v>500</v>
      </c>
      <c r="E108" s="69" t="s">
        <v>12</v>
      </c>
      <c r="F108" s="69" t="s">
        <v>13</v>
      </c>
      <c r="G108" s="70" t="s">
        <v>84</v>
      </c>
      <c r="H108" s="71"/>
      <c r="I108" s="71">
        <f t="shared" ref="I108:I183" si="2">D108-H108</f>
        <v>500</v>
      </c>
      <c r="J108" s="72"/>
      <c r="K108" s="73"/>
    </row>
    <row r="109" spans="1:11" ht="25.5" customHeight="1" x14ac:dyDescent="0.25">
      <c r="A109" s="13">
        <v>4</v>
      </c>
      <c r="B109" s="31" t="s">
        <v>79</v>
      </c>
      <c r="C109" s="14" t="s">
        <v>80</v>
      </c>
      <c r="D109" s="15">
        <v>100</v>
      </c>
      <c r="E109" s="13" t="s">
        <v>12</v>
      </c>
      <c r="F109" s="13" t="s">
        <v>13</v>
      </c>
      <c r="G109" s="13" t="s">
        <v>117</v>
      </c>
      <c r="H109" s="2"/>
      <c r="I109" s="2">
        <f t="shared" si="2"/>
        <v>100</v>
      </c>
      <c r="J109" s="8"/>
      <c r="K109" s="4"/>
    </row>
    <row r="110" spans="1:11" ht="24" customHeight="1" x14ac:dyDescent="0.25">
      <c r="A110" s="13">
        <v>5</v>
      </c>
      <c r="B110" s="31" t="s">
        <v>144</v>
      </c>
      <c r="C110" s="14" t="s">
        <v>145</v>
      </c>
      <c r="D110" s="15">
        <v>100</v>
      </c>
      <c r="E110" s="13" t="s">
        <v>12</v>
      </c>
      <c r="F110" s="13" t="s">
        <v>13</v>
      </c>
      <c r="G110" s="13" t="s">
        <v>117</v>
      </c>
      <c r="H110" s="2"/>
      <c r="I110" s="2">
        <f t="shared" si="2"/>
        <v>100</v>
      </c>
      <c r="J110" s="8"/>
      <c r="K110" s="4"/>
    </row>
    <row r="111" spans="1:11" ht="30" customHeight="1" x14ac:dyDescent="0.25">
      <c r="A111" s="13">
        <v>6</v>
      </c>
      <c r="B111" s="13">
        <v>24900000</v>
      </c>
      <c r="C111" s="14" t="s">
        <v>21</v>
      </c>
      <c r="D111" s="15">
        <v>200</v>
      </c>
      <c r="E111" s="13" t="s">
        <v>12</v>
      </c>
      <c r="F111" s="13" t="s">
        <v>13</v>
      </c>
      <c r="G111" s="13" t="s">
        <v>117</v>
      </c>
      <c r="H111" s="2"/>
      <c r="I111" s="2">
        <f t="shared" si="2"/>
        <v>200</v>
      </c>
      <c r="J111" s="8"/>
      <c r="K111" s="4"/>
    </row>
    <row r="112" spans="1:11" ht="29.25" customHeight="1" x14ac:dyDescent="0.25">
      <c r="A112" s="13">
        <v>7</v>
      </c>
      <c r="B112" s="13">
        <v>31400000</v>
      </c>
      <c r="C112" s="14" t="s">
        <v>28</v>
      </c>
      <c r="D112" s="15">
        <v>1000</v>
      </c>
      <c r="E112" s="13" t="s">
        <v>118</v>
      </c>
      <c r="F112" s="13" t="s">
        <v>13</v>
      </c>
      <c r="G112" s="13" t="s">
        <v>117</v>
      </c>
      <c r="H112" s="2"/>
      <c r="I112" s="2">
        <f t="shared" si="2"/>
        <v>1000</v>
      </c>
      <c r="J112" s="8"/>
      <c r="K112" s="4"/>
    </row>
    <row r="113" spans="1:11" ht="26.25" customHeight="1" x14ac:dyDescent="0.25">
      <c r="A113" s="13">
        <v>8</v>
      </c>
      <c r="B113" s="13">
        <v>31500000</v>
      </c>
      <c r="C113" s="14" t="s">
        <v>29</v>
      </c>
      <c r="D113" s="15">
        <v>100</v>
      </c>
      <c r="E113" s="13" t="s">
        <v>12</v>
      </c>
      <c r="F113" s="13" t="s">
        <v>13</v>
      </c>
      <c r="G113" s="13" t="s">
        <v>117</v>
      </c>
      <c r="H113" s="2"/>
      <c r="I113" s="2">
        <f t="shared" si="2"/>
        <v>100</v>
      </c>
      <c r="J113" s="8"/>
      <c r="K113" s="4"/>
    </row>
    <row r="114" spans="1:11" ht="39.75" customHeight="1" x14ac:dyDescent="0.25">
      <c r="A114" s="13">
        <v>9</v>
      </c>
      <c r="B114" s="13">
        <v>32300000</v>
      </c>
      <c r="C114" s="14" t="s">
        <v>30</v>
      </c>
      <c r="D114" s="15">
        <v>100</v>
      </c>
      <c r="E114" s="13" t="s">
        <v>37</v>
      </c>
      <c r="F114" s="13" t="s">
        <v>13</v>
      </c>
      <c r="G114" s="13" t="s">
        <v>117</v>
      </c>
      <c r="H114" s="2"/>
      <c r="I114" s="2">
        <f t="shared" si="2"/>
        <v>100</v>
      </c>
      <c r="J114" s="8"/>
      <c r="K114" s="4"/>
    </row>
    <row r="115" spans="1:11" ht="36.75" customHeight="1" x14ac:dyDescent="0.25">
      <c r="A115" s="13">
        <v>10</v>
      </c>
      <c r="B115" s="13">
        <v>34300000</v>
      </c>
      <c r="C115" s="14" t="s">
        <v>81</v>
      </c>
      <c r="D115" s="15">
        <v>5000</v>
      </c>
      <c r="E115" s="13" t="s">
        <v>23</v>
      </c>
      <c r="F115" s="13" t="s">
        <v>13</v>
      </c>
      <c r="G115" s="13"/>
      <c r="H115" s="2">
        <f>596+1800+840+1400</f>
        <v>4636</v>
      </c>
      <c r="I115" s="2">
        <f t="shared" si="2"/>
        <v>364</v>
      </c>
      <c r="J115" s="8" t="s">
        <v>210</v>
      </c>
      <c r="K115" s="4"/>
    </row>
    <row r="116" spans="1:11" ht="36.75" customHeight="1" x14ac:dyDescent="0.25">
      <c r="A116" s="13">
        <v>11</v>
      </c>
      <c r="B116" s="13">
        <v>34300000</v>
      </c>
      <c r="C116" s="14" t="s">
        <v>81</v>
      </c>
      <c r="D116" s="15">
        <v>100</v>
      </c>
      <c r="E116" s="13" t="s">
        <v>12</v>
      </c>
      <c r="F116" s="13" t="s">
        <v>13</v>
      </c>
      <c r="G116" s="13" t="s">
        <v>117</v>
      </c>
      <c r="H116" s="2"/>
      <c r="I116" s="2">
        <f t="shared" si="2"/>
        <v>100</v>
      </c>
      <c r="J116" s="8"/>
      <c r="K116" s="4"/>
    </row>
    <row r="117" spans="1:11" ht="27.75" customHeight="1" x14ac:dyDescent="0.25">
      <c r="A117" s="13">
        <v>12</v>
      </c>
      <c r="B117" s="13">
        <v>38400000</v>
      </c>
      <c r="C117" s="14" t="s">
        <v>152</v>
      </c>
      <c r="D117" s="15">
        <v>100</v>
      </c>
      <c r="E117" s="13" t="s">
        <v>12</v>
      </c>
      <c r="F117" s="13" t="s">
        <v>13</v>
      </c>
      <c r="G117" s="13" t="s">
        <v>117</v>
      </c>
      <c r="H117" s="2"/>
      <c r="I117" s="2">
        <f t="shared" si="2"/>
        <v>100</v>
      </c>
      <c r="J117" s="8"/>
      <c r="K117" s="4"/>
    </row>
    <row r="118" spans="1:11" s="74" customFormat="1" ht="27.75" customHeight="1" x14ac:dyDescent="0.25">
      <c r="A118" s="69">
        <v>13</v>
      </c>
      <c r="B118" s="69">
        <v>42100000</v>
      </c>
      <c r="C118" s="70" t="s">
        <v>133</v>
      </c>
      <c r="D118" s="68">
        <v>100</v>
      </c>
      <c r="E118" s="69" t="s">
        <v>12</v>
      </c>
      <c r="F118" s="69" t="s">
        <v>13</v>
      </c>
      <c r="G118" s="69" t="s">
        <v>117</v>
      </c>
      <c r="H118" s="71"/>
      <c r="I118" s="71">
        <f t="shared" si="2"/>
        <v>100</v>
      </c>
      <c r="J118" s="72"/>
      <c r="K118" s="73"/>
    </row>
    <row r="119" spans="1:11" s="74" customFormat="1" ht="68.25" customHeight="1" x14ac:dyDescent="0.25">
      <c r="A119" s="69">
        <v>14</v>
      </c>
      <c r="B119" s="69">
        <v>42900000</v>
      </c>
      <c r="C119" s="70" t="s">
        <v>82</v>
      </c>
      <c r="D119" s="68">
        <f>550+160</f>
        <v>710</v>
      </c>
      <c r="E119" s="69" t="s">
        <v>12</v>
      </c>
      <c r="F119" s="69" t="s">
        <v>13</v>
      </c>
      <c r="G119" s="70" t="s">
        <v>84</v>
      </c>
      <c r="H119" s="71">
        <f>304.6+200+200</f>
        <v>704.6</v>
      </c>
      <c r="I119" s="69">
        <f t="shared" si="2"/>
        <v>5.3999999999999773</v>
      </c>
      <c r="J119" s="72" t="s">
        <v>253</v>
      </c>
      <c r="K119" s="73"/>
    </row>
    <row r="120" spans="1:11" s="74" customFormat="1" ht="30.75" customHeight="1" x14ac:dyDescent="0.25">
      <c r="A120" s="69">
        <v>15</v>
      </c>
      <c r="B120" s="69">
        <v>44500000</v>
      </c>
      <c r="C120" s="70" t="s">
        <v>46</v>
      </c>
      <c r="D120" s="68">
        <v>150</v>
      </c>
      <c r="E120" s="69" t="s">
        <v>12</v>
      </c>
      <c r="F120" s="69" t="s">
        <v>13</v>
      </c>
      <c r="G120" s="69" t="s">
        <v>117</v>
      </c>
      <c r="H120" s="71"/>
      <c r="I120" s="71">
        <f t="shared" si="2"/>
        <v>150</v>
      </c>
      <c r="J120" s="72"/>
      <c r="K120" s="73"/>
    </row>
    <row r="121" spans="1:11" s="74" customFormat="1" ht="41.25" customHeight="1" x14ac:dyDescent="0.25">
      <c r="A121" s="69">
        <v>16</v>
      </c>
      <c r="B121" s="69">
        <v>50100000</v>
      </c>
      <c r="C121" s="70" t="s">
        <v>83</v>
      </c>
      <c r="D121" s="68">
        <v>38000</v>
      </c>
      <c r="E121" s="69" t="s">
        <v>37</v>
      </c>
      <c r="F121" s="69" t="s">
        <v>13</v>
      </c>
      <c r="G121" s="69"/>
      <c r="H121" s="71">
        <f>38000</f>
        <v>38000</v>
      </c>
      <c r="I121" s="71">
        <f t="shared" si="2"/>
        <v>0</v>
      </c>
      <c r="J121" s="72" t="s">
        <v>200</v>
      </c>
      <c r="K121" s="73"/>
    </row>
    <row r="122" spans="1:11" s="74" customFormat="1" ht="72.75" customHeight="1" x14ac:dyDescent="0.25">
      <c r="A122" s="69">
        <v>17</v>
      </c>
      <c r="B122" s="69">
        <v>50100000</v>
      </c>
      <c r="C122" s="70" t="s">
        <v>83</v>
      </c>
      <c r="D122" s="68">
        <f>3000-1000</f>
        <v>2000</v>
      </c>
      <c r="E122" s="69" t="s">
        <v>12</v>
      </c>
      <c r="F122" s="69" t="s">
        <v>13</v>
      </c>
      <c r="G122" s="70" t="s">
        <v>84</v>
      </c>
      <c r="H122" s="79"/>
      <c r="I122" s="71">
        <f t="shared" si="2"/>
        <v>2000</v>
      </c>
      <c r="J122" s="72"/>
      <c r="K122" s="73"/>
    </row>
    <row r="123" spans="1:11" s="74" customFormat="1" ht="43.5" customHeight="1" x14ac:dyDescent="0.25">
      <c r="A123" s="69">
        <v>18</v>
      </c>
      <c r="B123" s="69">
        <v>50100000</v>
      </c>
      <c r="C123" s="70" t="s">
        <v>83</v>
      </c>
      <c r="D123" s="68">
        <f>2000+1000</f>
        <v>3000</v>
      </c>
      <c r="E123" s="69" t="s">
        <v>161</v>
      </c>
      <c r="F123" s="69" t="s">
        <v>13</v>
      </c>
      <c r="G123" s="70"/>
      <c r="H123" s="79">
        <f>2000+1000</f>
        <v>3000</v>
      </c>
      <c r="I123" s="71">
        <f t="shared" si="2"/>
        <v>0</v>
      </c>
      <c r="J123" s="72" t="s">
        <v>229</v>
      </c>
      <c r="K123" s="73"/>
    </row>
    <row r="124" spans="1:11" s="74" customFormat="1" ht="24.75" customHeight="1" x14ac:dyDescent="0.25">
      <c r="A124" s="69">
        <v>19</v>
      </c>
      <c r="B124" s="69">
        <v>60100000</v>
      </c>
      <c r="C124" s="70" t="s">
        <v>109</v>
      </c>
      <c r="D124" s="68">
        <v>100</v>
      </c>
      <c r="E124" s="69" t="s">
        <v>37</v>
      </c>
      <c r="F124" s="69" t="s">
        <v>13</v>
      </c>
      <c r="G124" s="70"/>
      <c r="H124" s="79"/>
      <c r="I124" s="71">
        <f t="shared" si="2"/>
        <v>100</v>
      </c>
      <c r="J124" s="72"/>
      <c r="K124" s="73"/>
    </row>
    <row r="125" spans="1:11" s="74" customFormat="1" ht="21.75" customHeight="1" x14ac:dyDescent="0.25">
      <c r="A125" s="69">
        <v>20</v>
      </c>
      <c r="B125" s="69">
        <v>63100000</v>
      </c>
      <c r="C125" s="70" t="s">
        <v>54</v>
      </c>
      <c r="D125" s="68">
        <v>500</v>
      </c>
      <c r="E125" s="69" t="s">
        <v>12</v>
      </c>
      <c r="F125" s="69" t="s">
        <v>13</v>
      </c>
      <c r="G125" s="69" t="s">
        <v>117</v>
      </c>
      <c r="H125" s="71">
        <f>472</f>
        <v>472</v>
      </c>
      <c r="I125" s="71">
        <f t="shared" si="2"/>
        <v>28</v>
      </c>
      <c r="J125" s="72">
        <v>38</v>
      </c>
      <c r="K125" s="73"/>
    </row>
    <row r="126" spans="1:11" s="74" customFormat="1" ht="46.5" customHeight="1" x14ac:dyDescent="0.25">
      <c r="A126" s="69">
        <v>21</v>
      </c>
      <c r="B126" s="69">
        <v>63700000</v>
      </c>
      <c r="C126" s="70" t="s">
        <v>119</v>
      </c>
      <c r="D126" s="68">
        <v>400</v>
      </c>
      <c r="E126" s="69" t="s">
        <v>12</v>
      </c>
      <c r="F126" s="69" t="s">
        <v>13</v>
      </c>
      <c r="G126" s="70" t="s">
        <v>86</v>
      </c>
      <c r="H126" s="71"/>
      <c r="I126" s="71">
        <f t="shared" si="2"/>
        <v>400</v>
      </c>
      <c r="J126" s="72"/>
      <c r="K126" s="73"/>
    </row>
    <row r="127" spans="1:11" s="74" customFormat="1" ht="32.25" customHeight="1" x14ac:dyDescent="0.25">
      <c r="A127" s="69">
        <v>22</v>
      </c>
      <c r="B127" s="69">
        <v>71600000</v>
      </c>
      <c r="C127" s="70" t="s">
        <v>134</v>
      </c>
      <c r="D127" s="68">
        <f>300-160</f>
        <v>140</v>
      </c>
      <c r="E127" s="69" t="s">
        <v>12</v>
      </c>
      <c r="F127" s="69" t="s">
        <v>13</v>
      </c>
      <c r="G127" s="70" t="s">
        <v>135</v>
      </c>
      <c r="H127" s="71"/>
      <c r="I127" s="71">
        <f t="shared" si="2"/>
        <v>140</v>
      </c>
      <c r="J127" s="72"/>
      <c r="K127" s="73"/>
    </row>
    <row r="128" spans="1:11" s="74" customFormat="1" ht="19.5" customHeight="1" x14ac:dyDescent="0.25">
      <c r="A128" s="69">
        <v>23</v>
      </c>
      <c r="B128" s="69">
        <v>98300000</v>
      </c>
      <c r="C128" s="70" t="s">
        <v>63</v>
      </c>
      <c r="D128" s="68">
        <v>100</v>
      </c>
      <c r="E128" s="69" t="s">
        <v>12</v>
      </c>
      <c r="F128" s="69" t="s">
        <v>13</v>
      </c>
      <c r="G128" s="69" t="s">
        <v>117</v>
      </c>
      <c r="H128" s="71"/>
      <c r="I128" s="71">
        <f t="shared" si="2"/>
        <v>100</v>
      </c>
      <c r="J128" s="72"/>
      <c r="K128" s="73"/>
    </row>
    <row r="129" spans="1:11" s="74" customFormat="1" ht="23.25" customHeight="1" x14ac:dyDescent="0.25">
      <c r="A129" s="80" t="s">
        <v>85</v>
      </c>
      <c r="B129" s="81"/>
      <c r="C129" s="82"/>
      <c r="D129" s="86">
        <f>D130+D131+D132+D133+D134+D135+D136+D137+D138+D139</f>
        <v>252536</v>
      </c>
      <c r="E129" s="69"/>
      <c r="F129" s="69"/>
      <c r="G129" s="69"/>
      <c r="H129" s="71"/>
      <c r="I129" s="71"/>
      <c r="J129" s="72"/>
      <c r="K129" s="73"/>
    </row>
    <row r="130" spans="1:11" s="74" customFormat="1" ht="23.25" customHeight="1" x14ac:dyDescent="0.25">
      <c r="A130" s="69">
        <v>1</v>
      </c>
      <c r="B130" s="69">
        <v>22400000</v>
      </c>
      <c r="C130" s="69" t="s">
        <v>136</v>
      </c>
      <c r="D130" s="87">
        <v>40000</v>
      </c>
      <c r="E130" s="69" t="s">
        <v>37</v>
      </c>
      <c r="F130" s="69" t="s">
        <v>13</v>
      </c>
      <c r="G130" s="69"/>
      <c r="H130" s="71"/>
      <c r="I130" s="71">
        <f t="shared" si="2"/>
        <v>40000</v>
      </c>
      <c r="J130" s="72"/>
      <c r="K130" s="73"/>
    </row>
    <row r="131" spans="1:11" s="74" customFormat="1" ht="30.75" customHeight="1" x14ac:dyDescent="0.25">
      <c r="A131" s="69">
        <v>2</v>
      </c>
      <c r="B131" s="69">
        <v>44400000</v>
      </c>
      <c r="C131" s="70" t="s">
        <v>45</v>
      </c>
      <c r="D131" s="87">
        <v>150</v>
      </c>
      <c r="E131" s="69" t="s">
        <v>12</v>
      </c>
      <c r="F131" s="69" t="s">
        <v>231</v>
      </c>
      <c r="G131" s="69" t="s">
        <v>117</v>
      </c>
      <c r="H131" s="71">
        <v>150</v>
      </c>
      <c r="I131" s="71">
        <f t="shared" si="2"/>
        <v>0</v>
      </c>
      <c r="J131" s="72" t="s">
        <v>247</v>
      </c>
      <c r="K131" s="73"/>
    </row>
    <row r="132" spans="1:11" ht="48.75" customHeight="1" x14ac:dyDescent="0.25">
      <c r="A132" s="13">
        <v>3</v>
      </c>
      <c r="B132" s="13">
        <v>64200000</v>
      </c>
      <c r="C132" s="14" t="s">
        <v>56</v>
      </c>
      <c r="D132" s="15">
        <v>15500</v>
      </c>
      <c r="E132" s="13" t="s">
        <v>12</v>
      </c>
      <c r="F132" s="13" t="s">
        <v>13</v>
      </c>
      <c r="G132" s="14" t="s">
        <v>86</v>
      </c>
      <c r="H132" s="7"/>
      <c r="I132" s="2">
        <f t="shared" si="2"/>
        <v>15500</v>
      </c>
      <c r="J132" s="8"/>
      <c r="K132" s="4"/>
    </row>
    <row r="133" spans="1:11" ht="36" x14ac:dyDescent="0.25">
      <c r="A133" s="36">
        <v>4</v>
      </c>
      <c r="B133" s="13">
        <v>75100000</v>
      </c>
      <c r="C133" s="14" t="s">
        <v>87</v>
      </c>
      <c r="D133" s="15">
        <v>3000</v>
      </c>
      <c r="E133" s="13" t="s">
        <v>12</v>
      </c>
      <c r="F133" s="13" t="s">
        <v>13</v>
      </c>
      <c r="G133" s="14" t="s">
        <v>86</v>
      </c>
      <c r="H133" s="7"/>
      <c r="I133" s="2">
        <f t="shared" si="2"/>
        <v>3000</v>
      </c>
      <c r="J133" s="8"/>
      <c r="K133" s="4"/>
    </row>
    <row r="134" spans="1:11" x14ac:dyDescent="0.25">
      <c r="A134" s="36">
        <v>5</v>
      </c>
      <c r="B134" s="13">
        <v>79200000</v>
      </c>
      <c r="C134" s="14" t="s">
        <v>59</v>
      </c>
      <c r="D134" s="15">
        <v>1500</v>
      </c>
      <c r="E134" s="13" t="s">
        <v>12</v>
      </c>
      <c r="F134" s="13" t="s">
        <v>13</v>
      </c>
      <c r="G134" s="14"/>
      <c r="H134" s="7"/>
      <c r="I134" s="2">
        <f t="shared" si="2"/>
        <v>1500</v>
      </c>
      <c r="J134" s="8"/>
      <c r="K134" s="4"/>
    </row>
    <row r="135" spans="1:11" x14ac:dyDescent="0.25">
      <c r="A135" s="36">
        <v>6</v>
      </c>
      <c r="B135" s="13">
        <v>79300000</v>
      </c>
      <c r="C135" s="14" t="s">
        <v>136</v>
      </c>
      <c r="D135" s="15">
        <v>1036</v>
      </c>
      <c r="E135" s="13" t="s">
        <v>12</v>
      </c>
      <c r="F135" s="13" t="s">
        <v>13</v>
      </c>
      <c r="G135" s="13" t="s">
        <v>117</v>
      </c>
      <c r="H135" s="7"/>
      <c r="I135" s="2">
        <f t="shared" si="2"/>
        <v>1036</v>
      </c>
      <c r="J135" s="8"/>
      <c r="K135" s="4"/>
    </row>
    <row r="136" spans="1:11" ht="48.75" customHeight="1" x14ac:dyDescent="0.25">
      <c r="A136" s="13">
        <v>7</v>
      </c>
      <c r="B136" s="13">
        <v>79700000</v>
      </c>
      <c r="C136" s="14" t="s">
        <v>88</v>
      </c>
      <c r="D136" s="15">
        <f>110000-9000</f>
        <v>101000</v>
      </c>
      <c r="E136" s="13" t="s">
        <v>12</v>
      </c>
      <c r="F136" s="13" t="s">
        <v>13</v>
      </c>
      <c r="G136" s="14" t="s">
        <v>57</v>
      </c>
      <c r="H136" s="7">
        <v>100680</v>
      </c>
      <c r="I136" s="2">
        <f t="shared" si="2"/>
        <v>320</v>
      </c>
      <c r="J136" s="8">
        <v>5</v>
      </c>
      <c r="K136" s="4"/>
    </row>
    <row r="137" spans="1:11" s="74" customFormat="1" ht="25.5" customHeight="1" x14ac:dyDescent="0.25">
      <c r="A137" s="69">
        <v>8</v>
      </c>
      <c r="B137" s="69">
        <v>80500000</v>
      </c>
      <c r="C137" s="70" t="s">
        <v>112</v>
      </c>
      <c r="D137" s="68">
        <f>85000-9900-150</f>
        <v>74950</v>
      </c>
      <c r="E137" s="69" t="s">
        <v>37</v>
      </c>
      <c r="F137" s="69" t="s">
        <v>13</v>
      </c>
      <c r="G137" s="70" t="s">
        <v>137</v>
      </c>
      <c r="H137" s="79"/>
      <c r="I137" s="71">
        <f t="shared" si="2"/>
        <v>74950</v>
      </c>
      <c r="J137" s="72"/>
      <c r="K137" s="73"/>
    </row>
    <row r="138" spans="1:11" s="74" customFormat="1" ht="25.5" customHeight="1" x14ac:dyDescent="0.25">
      <c r="A138" s="69">
        <v>9</v>
      </c>
      <c r="B138" s="69">
        <v>92100000</v>
      </c>
      <c r="C138" s="70" t="s">
        <v>111</v>
      </c>
      <c r="D138" s="68">
        <v>9900</v>
      </c>
      <c r="E138" s="69" t="s">
        <v>12</v>
      </c>
      <c r="F138" s="69" t="s">
        <v>231</v>
      </c>
      <c r="G138" s="70"/>
      <c r="H138" s="79">
        <v>9900</v>
      </c>
      <c r="I138" s="71">
        <f t="shared" si="2"/>
        <v>0</v>
      </c>
      <c r="J138" s="72" t="s">
        <v>245</v>
      </c>
      <c r="K138" s="73"/>
    </row>
    <row r="139" spans="1:11" s="74" customFormat="1" x14ac:dyDescent="0.25">
      <c r="A139" s="69">
        <v>10</v>
      </c>
      <c r="B139" s="69">
        <v>92400000</v>
      </c>
      <c r="C139" s="70" t="s">
        <v>130</v>
      </c>
      <c r="D139" s="68">
        <v>5500</v>
      </c>
      <c r="E139" s="69" t="s">
        <v>12</v>
      </c>
      <c r="F139" s="69" t="s">
        <v>13</v>
      </c>
      <c r="G139" s="70" t="s">
        <v>117</v>
      </c>
      <c r="H139" s="79">
        <f>5500</f>
        <v>5500</v>
      </c>
      <c r="I139" s="71">
        <f t="shared" si="2"/>
        <v>0</v>
      </c>
      <c r="J139" s="72" t="s">
        <v>202</v>
      </c>
      <c r="K139" s="73"/>
    </row>
    <row r="140" spans="1:11" s="74" customFormat="1" ht="19.5" customHeight="1" x14ac:dyDescent="0.25">
      <c r="A140" s="80" t="s">
        <v>89</v>
      </c>
      <c r="B140" s="81"/>
      <c r="C140" s="82"/>
      <c r="D140" s="86">
        <f>D141+D142</f>
        <v>20000</v>
      </c>
      <c r="E140" s="69"/>
      <c r="F140" s="69" t="s">
        <v>13</v>
      </c>
      <c r="G140" s="69"/>
      <c r="H140" s="71"/>
      <c r="I140" s="71"/>
      <c r="J140" s="72"/>
      <c r="K140" s="73"/>
    </row>
    <row r="141" spans="1:11" s="74" customFormat="1" x14ac:dyDescent="0.25">
      <c r="A141" s="69">
        <v>1</v>
      </c>
      <c r="B141" s="69">
        <v>66500000</v>
      </c>
      <c r="C141" s="70" t="s">
        <v>90</v>
      </c>
      <c r="D141" s="68">
        <v>15000</v>
      </c>
      <c r="E141" s="69" t="s">
        <v>118</v>
      </c>
      <c r="F141" s="69" t="s">
        <v>13</v>
      </c>
      <c r="G141" s="69"/>
      <c r="H141" s="71">
        <f>10435.32</f>
        <v>10435.32</v>
      </c>
      <c r="I141" s="71">
        <f t="shared" si="2"/>
        <v>4564.68</v>
      </c>
      <c r="J141" s="72" t="s">
        <v>189</v>
      </c>
      <c r="K141" s="73"/>
    </row>
    <row r="142" spans="1:11" s="74" customFormat="1" x14ac:dyDescent="0.25">
      <c r="A142" s="69">
        <v>2</v>
      </c>
      <c r="B142" s="69">
        <v>66500000</v>
      </c>
      <c r="C142" s="70" t="s">
        <v>90</v>
      </c>
      <c r="D142" s="68">
        <v>5000</v>
      </c>
      <c r="E142" s="69" t="s">
        <v>12</v>
      </c>
      <c r="F142" s="69" t="s">
        <v>13</v>
      </c>
      <c r="G142" s="69" t="s">
        <v>117</v>
      </c>
      <c r="H142" s="71"/>
      <c r="I142" s="71">
        <f t="shared" si="2"/>
        <v>5000</v>
      </c>
      <c r="J142" s="72"/>
      <c r="K142" s="73"/>
    </row>
    <row r="143" spans="1:11" s="74" customFormat="1" ht="27" customHeight="1" x14ac:dyDescent="0.25">
      <c r="A143" s="80" t="s">
        <v>91</v>
      </c>
      <c r="B143" s="81"/>
      <c r="C143" s="82"/>
      <c r="D143" s="86">
        <f>D144+D145+D146+D147</f>
        <v>210000</v>
      </c>
      <c r="E143" s="69"/>
      <c r="F143" s="69" t="s">
        <v>13</v>
      </c>
      <c r="G143" s="69"/>
      <c r="H143" s="71"/>
      <c r="I143" s="71"/>
      <c r="J143" s="72"/>
      <c r="K143" s="73"/>
    </row>
    <row r="144" spans="1:11" s="74" customFormat="1" ht="24" x14ac:dyDescent="0.25">
      <c r="A144" s="69">
        <v>1</v>
      </c>
      <c r="B144" s="69">
        <v>30200000</v>
      </c>
      <c r="C144" s="70" t="s">
        <v>24</v>
      </c>
      <c r="D144" s="68">
        <v>10000</v>
      </c>
      <c r="E144" s="69" t="s">
        <v>37</v>
      </c>
      <c r="F144" s="69" t="s">
        <v>13</v>
      </c>
      <c r="G144" s="69"/>
      <c r="H144" s="71"/>
      <c r="I144" s="71">
        <f t="shared" si="2"/>
        <v>10000</v>
      </c>
      <c r="J144" s="72"/>
      <c r="K144" s="73"/>
    </row>
    <row r="145" spans="1:11" s="74" customFormat="1" ht="24" x14ac:dyDescent="0.25">
      <c r="A145" s="69">
        <v>2</v>
      </c>
      <c r="B145" s="69">
        <v>30200000</v>
      </c>
      <c r="C145" s="70" t="s">
        <v>24</v>
      </c>
      <c r="D145" s="68">
        <f>15000+30000</f>
        <v>45000</v>
      </c>
      <c r="E145" s="69" t="s">
        <v>131</v>
      </c>
      <c r="F145" s="69" t="s">
        <v>13</v>
      </c>
      <c r="G145" s="69"/>
      <c r="H145" s="71"/>
      <c r="I145" s="71">
        <f t="shared" si="2"/>
        <v>45000</v>
      </c>
      <c r="J145" s="72"/>
      <c r="K145" s="73"/>
    </row>
    <row r="146" spans="1:11" s="74" customFormat="1" x14ac:dyDescent="0.25">
      <c r="A146" s="69">
        <v>3</v>
      </c>
      <c r="B146" s="69">
        <v>39100000</v>
      </c>
      <c r="C146" s="70" t="s">
        <v>36</v>
      </c>
      <c r="D146" s="68">
        <f>5000+30000</f>
        <v>35000</v>
      </c>
      <c r="E146" s="69" t="s">
        <v>37</v>
      </c>
      <c r="F146" s="69" t="s">
        <v>13</v>
      </c>
      <c r="G146" s="69"/>
      <c r="H146" s="71"/>
      <c r="I146" s="71">
        <f t="shared" si="2"/>
        <v>35000</v>
      </c>
      <c r="J146" s="72"/>
      <c r="K146" s="73"/>
    </row>
    <row r="147" spans="1:11" s="74" customFormat="1" x14ac:dyDescent="0.25">
      <c r="A147" s="69">
        <v>4</v>
      </c>
      <c r="B147" s="69">
        <v>45400000</v>
      </c>
      <c r="C147" s="70" t="s">
        <v>92</v>
      </c>
      <c r="D147" s="68">
        <v>120000</v>
      </c>
      <c r="E147" s="69" t="s">
        <v>37</v>
      </c>
      <c r="F147" s="69" t="s">
        <v>13</v>
      </c>
      <c r="G147" s="69"/>
      <c r="H147" s="71"/>
      <c r="I147" s="71">
        <f t="shared" si="2"/>
        <v>120000</v>
      </c>
      <c r="J147" s="72"/>
      <c r="K147" s="73"/>
    </row>
    <row r="148" spans="1:11" s="74" customFormat="1" ht="24" customHeight="1" x14ac:dyDescent="0.25">
      <c r="A148" s="88"/>
      <c r="B148" s="89"/>
      <c r="C148" s="90" t="s">
        <v>93</v>
      </c>
      <c r="D148" s="91">
        <f>D150+D168+D190</f>
        <v>48772600</v>
      </c>
      <c r="E148" s="69"/>
      <c r="F148" s="69"/>
      <c r="G148" s="69"/>
      <c r="H148" s="71"/>
      <c r="I148" s="71"/>
      <c r="J148" s="72"/>
      <c r="K148" s="73"/>
    </row>
    <row r="149" spans="1:11" s="74" customFormat="1" ht="44.25" customHeight="1" x14ac:dyDescent="0.25">
      <c r="A149" s="92" t="s">
        <v>160</v>
      </c>
      <c r="B149" s="81"/>
      <c r="C149" s="82"/>
      <c r="D149" s="68"/>
      <c r="E149" s="69"/>
      <c r="F149" s="69"/>
      <c r="G149" s="69" t="s">
        <v>105</v>
      </c>
      <c r="H149" s="71"/>
      <c r="I149" s="71"/>
      <c r="J149" s="72"/>
      <c r="K149" s="73"/>
    </row>
    <row r="150" spans="1:11" s="74" customFormat="1" ht="30.75" customHeight="1" x14ac:dyDescent="0.25">
      <c r="A150" s="92" t="s">
        <v>94</v>
      </c>
      <c r="B150" s="81"/>
      <c r="C150" s="82"/>
      <c r="D150" s="83">
        <f>D151+D152+D153+D154+D155+D156+D157+D158+D159+D160+D161+D162+D163+D164+D165+D166+D167</f>
        <v>36750400</v>
      </c>
      <c r="E150" s="69"/>
      <c r="F150" s="69"/>
      <c r="G150" s="69"/>
      <c r="H150" s="71"/>
      <c r="I150" s="71"/>
      <c r="J150" s="72"/>
      <c r="K150" s="73"/>
    </row>
    <row r="151" spans="1:11" s="74" customFormat="1" ht="30.75" customHeight="1" x14ac:dyDescent="0.25">
      <c r="A151" s="70">
        <v>1</v>
      </c>
      <c r="B151" s="69">
        <v>32300000</v>
      </c>
      <c r="C151" s="70" t="s">
        <v>233</v>
      </c>
      <c r="D151" s="68">
        <v>300000</v>
      </c>
      <c r="E151" s="69" t="s">
        <v>37</v>
      </c>
      <c r="F151" s="69" t="s">
        <v>231</v>
      </c>
      <c r="G151" s="69"/>
      <c r="H151" s="71"/>
      <c r="I151" s="71"/>
      <c r="J151" s="72"/>
      <c r="K151" s="73"/>
    </row>
    <row r="152" spans="1:11" s="74" customFormat="1" ht="30.75" customHeight="1" x14ac:dyDescent="0.25">
      <c r="A152" s="70">
        <v>2</v>
      </c>
      <c r="B152" s="69">
        <v>39100000</v>
      </c>
      <c r="C152" s="69" t="s">
        <v>36</v>
      </c>
      <c r="D152" s="68">
        <v>90000</v>
      </c>
      <c r="E152" s="69" t="s">
        <v>161</v>
      </c>
      <c r="F152" s="69" t="s">
        <v>184</v>
      </c>
      <c r="G152" s="69"/>
      <c r="H152" s="71">
        <f>89704.02</f>
        <v>89704.02</v>
      </c>
      <c r="I152" s="69">
        <f t="shared" si="2"/>
        <v>295.97999999999593</v>
      </c>
      <c r="J152" s="72" t="s">
        <v>213</v>
      </c>
      <c r="K152" s="73"/>
    </row>
    <row r="153" spans="1:11" s="74" customFormat="1" ht="30.75" customHeight="1" x14ac:dyDescent="0.25">
      <c r="A153" s="70">
        <v>3</v>
      </c>
      <c r="B153" s="69">
        <v>39100000</v>
      </c>
      <c r="C153" s="69" t="s">
        <v>36</v>
      </c>
      <c r="D153" s="68">
        <v>78000</v>
      </c>
      <c r="E153" s="69" t="s">
        <v>172</v>
      </c>
      <c r="F153" s="69" t="s">
        <v>231</v>
      </c>
      <c r="G153" s="69"/>
      <c r="H153" s="71">
        <v>77776</v>
      </c>
      <c r="I153" s="69">
        <f t="shared" si="2"/>
        <v>224</v>
      </c>
      <c r="J153" s="72" t="s">
        <v>235</v>
      </c>
      <c r="K153" s="73"/>
    </row>
    <row r="154" spans="1:11" s="74" customFormat="1" ht="24.75" customHeight="1" x14ac:dyDescent="0.25">
      <c r="A154" s="70">
        <v>4</v>
      </c>
      <c r="B154" s="69">
        <v>45100000</v>
      </c>
      <c r="C154" s="70" t="s">
        <v>154</v>
      </c>
      <c r="D154" s="68">
        <v>386000</v>
      </c>
      <c r="E154" s="69" t="s">
        <v>37</v>
      </c>
      <c r="F154" s="69" t="s">
        <v>13</v>
      </c>
      <c r="G154" s="69"/>
      <c r="H154" s="71"/>
      <c r="I154" s="71">
        <f t="shared" si="2"/>
        <v>386000</v>
      </c>
      <c r="J154" s="76"/>
      <c r="K154" s="73"/>
    </row>
    <row r="155" spans="1:11" s="74" customFormat="1" ht="24" x14ac:dyDescent="0.25">
      <c r="A155" s="70">
        <v>5</v>
      </c>
      <c r="B155" s="69">
        <v>45200000</v>
      </c>
      <c r="C155" s="70" t="s">
        <v>95</v>
      </c>
      <c r="D155" s="68">
        <f>15000000-78000</f>
        <v>14922000</v>
      </c>
      <c r="E155" s="69" t="s">
        <v>37</v>
      </c>
      <c r="F155" s="69" t="s">
        <v>13</v>
      </c>
      <c r="G155" s="93" t="s">
        <v>129</v>
      </c>
      <c r="H155" s="94">
        <f>2499998.89+1587732.93+1969067.05+2627701</f>
        <v>8684499.870000001</v>
      </c>
      <c r="I155" s="71">
        <f t="shared" si="2"/>
        <v>6237500.129999999</v>
      </c>
      <c r="J155" s="76" t="s">
        <v>225</v>
      </c>
      <c r="K155" s="73"/>
    </row>
    <row r="156" spans="1:11" s="74" customFormat="1" ht="24" x14ac:dyDescent="0.25">
      <c r="A156" s="70">
        <v>6</v>
      </c>
      <c r="B156" s="69">
        <v>45200000</v>
      </c>
      <c r="C156" s="70" t="s">
        <v>95</v>
      </c>
      <c r="D156" s="68">
        <f>9166600-10080</f>
        <v>9156520</v>
      </c>
      <c r="E156" s="69" t="s">
        <v>37</v>
      </c>
      <c r="F156" s="69" t="s">
        <v>13</v>
      </c>
      <c r="G156" s="93"/>
      <c r="H156" s="94"/>
      <c r="I156" s="71">
        <f t="shared" si="2"/>
        <v>9156520</v>
      </c>
      <c r="J156" s="95"/>
      <c r="K156" s="73"/>
    </row>
    <row r="157" spans="1:11" s="74" customFormat="1" x14ac:dyDescent="0.25">
      <c r="A157" s="70">
        <v>7</v>
      </c>
      <c r="B157" s="69">
        <v>45300000</v>
      </c>
      <c r="C157" s="70" t="s">
        <v>143</v>
      </c>
      <c r="D157" s="68">
        <v>600000</v>
      </c>
      <c r="E157" s="69" t="s">
        <v>37</v>
      </c>
      <c r="F157" s="69" t="s">
        <v>13</v>
      </c>
      <c r="G157" s="93"/>
      <c r="H157" s="94">
        <f>52444</f>
        <v>52444</v>
      </c>
      <c r="I157" s="71">
        <f t="shared" si="2"/>
        <v>547556</v>
      </c>
      <c r="J157" s="76">
        <v>101</v>
      </c>
      <c r="K157" s="73"/>
    </row>
    <row r="158" spans="1:11" s="74" customFormat="1" ht="28.5" customHeight="1" x14ac:dyDescent="0.25">
      <c r="A158" s="70">
        <v>8</v>
      </c>
      <c r="B158" s="69">
        <v>45400000</v>
      </c>
      <c r="C158" s="70" t="s">
        <v>92</v>
      </c>
      <c r="D158" s="68">
        <v>6652800</v>
      </c>
      <c r="E158" s="69" t="s">
        <v>37</v>
      </c>
      <c r="F158" s="69" t="s">
        <v>13</v>
      </c>
      <c r="G158" s="70"/>
      <c r="H158" s="79">
        <f>1659999.14+1127723.11+417292.99+1423721+87988+849998+1043998.07+1050286</f>
        <v>7661006.3100000005</v>
      </c>
      <c r="I158" s="71">
        <f t="shared" si="2"/>
        <v>-1008206.3100000005</v>
      </c>
      <c r="J158" s="72" t="s">
        <v>243</v>
      </c>
      <c r="K158" s="73"/>
    </row>
    <row r="159" spans="1:11" s="74" customFormat="1" ht="28.5" customHeight="1" x14ac:dyDescent="0.25">
      <c r="A159" s="70">
        <v>9</v>
      </c>
      <c r="B159" s="69">
        <v>45400000</v>
      </c>
      <c r="C159" s="70" t="s">
        <v>92</v>
      </c>
      <c r="D159" s="68">
        <v>2000000</v>
      </c>
      <c r="E159" s="69" t="s">
        <v>37</v>
      </c>
      <c r="F159" s="69" t="s">
        <v>13</v>
      </c>
      <c r="G159" s="93" t="s">
        <v>129</v>
      </c>
      <c r="H159" s="79">
        <f>4717316.2+1363509</f>
        <v>6080825.2000000002</v>
      </c>
      <c r="I159" s="69">
        <f t="shared" si="2"/>
        <v>-4080825.2</v>
      </c>
      <c r="J159" s="72" t="s">
        <v>238</v>
      </c>
      <c r="K159" s="73"/>
    </row>
    <row r="160" spans="1:11" s="74" customFormat="1" ht="30" customHeight="1" x14ac:dyDescent="0.25">
      <c r="A160" s="70">
        <v>10</v>
      </c>
      <c r="B160" s="69">
        <v>71200000</v>
      </c>
      <c r="C160" s="70" t="s">
        <v>96</v>
      </c>
      <c r="D160" s="68">
        <v>500000</v>
      </c>
      <c r="E160" s="69" t="s">
        <v>37</v>
      </c>
      <c r="F160" s="69" t="s">
        <v>13</v>
      </c>
      <c r="G160" s="93" t="s">
        <v>153</v>
      </c>
      <c r="H160" s="94">
        <f>1236000</f>
        <v>1236000</v>
      </c>
      <c r="I160" s="69">
        <f t="shared" si="2"/>
        <v>-736000</v>
      </c>
      <c r="J160" s="76">
        <v>43</v>
      </c>
      <c r="K160" s="73"/>
    </row>
    <row r="161" spans="1:11" s="74" customFormat="1" ht="30" customHeight="1" x14ac:dyDescent="0.25">
      <c r="A161" s="70">
        <v>11</v>
      </c>
      <c r="B161" s="69">
        <v>71200000</v>
      </c>
      <c r="C161" s="70" t="s">
        <v>96</v>
      </c>
      <c r="D161" s="68">
        <v>692000</v>
      </c>
      <c r="E161" s="69" t="s">
        <v>37</v>
      </c>
      <c r="F161" s="69" t="s">
        <v>13</v>
      </c>
      <c r="G161" s="70" t="s">
        <v>97</v>
      </c>
      <c r="H161" s="79">
        <f>23000+290500+123900+188000</f>
        <v>625400</v>
      </c>
      <c r="I161" s="71">
        <f t="shared" si="2"/>
        <v>66600</v>
      </c>
      <c r="J161" s="96" t="s">
        <v>241</v>
      </c>
      <c r="K161" s="73"/>
    </row>
    <row r="162" spans="1:11" s="74" customFormat="1" ht="30" customHeight="1" x14ac:dyDescent="0.25">
      <c r="A162" s="70">
        <v>12</v>
      </c>
      <c r="B162" s="69">
        <v>71200000</v>
      </c>
      <c r="C162" s="70" t="s">
        <v>96</v>
      </c>
      <c r="D162" s="68">
        <v>600000</v>
      </c>
      <c r="E162" s="69" t="s">
        <v>179</v>
      </c>
      <c r="F162" s="69" t="s">
        <v>13</v>
      </c>
      <c r="G162" s="70" t="s">
        <v>97</v>
      </c>
      <c r="H162" s="79">
        <f>147500+106197.64+159300</f>
        <v>412997.64</v>
      </c>
      <c r="I162" s="71">
        <f t="shared" si="2"/>
        <v>187002.36</v>
      </c>
      <c r="J162" s="96" t="s">
        <v>212</v>
      </c>
      <c r="K162" s="73"/>
    </row>
    <row r="163" spans="1:11" s="74" customFormat="1" ht="30" customHeight="1" x14ac:dyDescent="0.25">
      <c r="A163" s="70">
        <v>13</v>
      </c>
      <c r="B163" s="69">
        <v>71200000</v>
      </c>
      <c r="C163" s="70" t="s">
        <v>96</v>
      </c>
      <c r="D163" s="68">
        <v>23000</v>
      </c>
      <c r="E163" s="69" t="s">
        <v>12</v>
      </c>
      <c r="F163" s="69" t="s">
        <v>13</v>
      </c>
      <c r="G163" s="70" t="s">
        <v>178</v>
      </c>
      <c r="H163" s="79"/>
      <c r="I163" s="71">
        <f t="shared" si="2"/>
        <v>23000</v>
      </c>
      <c r="J163" s="96"/>
      <c r="K163" s="73"/>
    </row>
    <row r="164" spans="1:11" s="74" customFormat="1" ht="48.75" customHeight="1" x14ac:dyDescent="0.25">
      <c r="A164" s="70">
        <v>14</v>
      </c>
      <c r="B164" s="69">
        <v>71300000</v>
      </c>
      <c r="C164" s="70" t="s">
        <v>165</v>
      </c>
      <c r="D164" s="68">
        <v>10080</v>
      </c>
      <c r="E164" s="69" t="s">
        <v>12</v>
      </c>
      <c r="F164" s="69" t="s">
        <v>157</v>
      </c>
      <c r="G164" s="70" t="s">
        <v>86</v>
      </c>
      <c r="H164" s="79">
        <v>10080</v>
      </c>
      <c r="I164" s="71">
        <f t="shared" si="2"/>
        <v>0</v>
      </c>
      <c r="J164" s="96" t="s">
        <v>257</v>
      </c>
      <c r="K164" s="73"/>
    </row>
    <row r="165" spans="1:11" s="74" customFormat="1" ht="30" customHeight="1" x14ac:dyDescent="0.25">
      <c r="A165" s="70">
        <v>15</v>
      </c>
      <c r="B165" s="69">
        <v>71300000</v>
      </c>
      <c r="C165" s="70" t="s">
        <v>165</v>
      </c>
      <c r="D165" s="68">
        <v>685000</v>
      </c>
      <c r="E165" s="69" t="s">
        <v>37</v>
      </c>
      <c r="F165" s="69" t="s">
        <v>13</v>
      </c>
      <c r="G165" s="70" t="s">
        <v>174</v>
      </c>
      <c r="H165" s="79">
        <f>684000</f>
        <v>684000</v>
      </c>
      <c r="I165" s="69">
        <f t="shared" si="2"/>
        <v>1000</v>
      </c>
      <c r="J165" s="96">
        <v>46</v>
      </c>
      <c r="K165" s="73"/>
    </row>
    <row r="166" spans="1:11" s="74" customFormat="1" ht="30" customHeight="1" x14ac:dyDescent="0.25">
      <c r="A166" s="70">
        <v>16</v>
      </c>
      <c r="B166" s="69">
        <v>71300000</v>
      </c>
      <c r="C166" s="70" t="s">
        <v>165</v>
      </c>
      <c r="D166" s="68">
        <v>50000</v>
      </c>
      <c r="E166" s="69" t="s">
        <v>37</v>
      </c>
      <c r="F166" s="69" t="s">
        <v>13</v>
      </c>
      <c r="G166" s="70" t="s">
        <v>97</v>
      </c>
      <c r="H166" s="79">
        <v>19434</v>
      </c>
      <c r="I166" s="71">
        <f t="shared" si="2"/>
        <v>30566</v>
      </c>
      <c r="J166" s="72">
        <v>140</v>
      </c>
      <c r="K166" s="73"/>
    </row>
    <row r="167" spans="1:11" s="74" customFormat="1" ht="41.25" customHeight="1" x14ac:dyDescent="0.25">
      <c r="A167" s="70">
        <v>17</v>
      </c>
      <c r="B167" s="69">
        <v>75200000</v>
      </c>
      <c r="C167" s="70" t="s">
        <v>176</v>
      </c>
      <c r="D167" s="68">
        <v>5000</v>
      </c>
      <c r="E167" s="69" t="s">
        <v>12</v>
      </c>
      <c r="F167" s="69" t="s">
        <v>13</v>
      </c>
      <c r="G167" s="70" t="s">
        <v>86</v>
      </c>
      <c r="H167" s="79">
        <f>50+3244.12</f>
        <v>3294.12</v>
      </c>
      <c r="I167" s="71">
        <f t="shared" si="2"/>
        <v>1705.88</v>
      </c>
      <c r="J167" s="72" t="s">
        <v>263</v>
      </c>
      <c r="K167" s="73"/>
    </row>
    <row r="168" spans="1:11" s="74" customFormat="1" ht="34.5" customHeight="1" x14ac:dyDescent="0.25">
      <c r="A168" s="92" t="s">
        <v>98</v>
      </c>
      <c r="B168" s="81"/>
      <c r="C168" s="82"/>
      <c r="D168" s="83">
        <f>D169+D171+D173+D176+D177+D178+D181+D182+D188+D189+D174+D183+D184+D172+D179+D180+D185+D186+D187+D175+D170</f>
        <v>3075000</v>
      </c>
      <c r="E168" s="69"/>
      <c r="F168" s="69"/>
      <c r="G168" s="70"/>
      <c r="H168" s="79"/>
      <c r="I168" s="71"/>
      <c r="J168" s="95"/>
      <c r="K168" s="73"/>
    </row>
    <row r="169" spans="1:11" s="74" customFormat="1" ht="34.5" customHeight="1" x14ac:dyDescent="0.25">
      <c r="A169" s="70">
        <v>1</v>
      </c>
      <c r="B169" s="69">
        <v>19200000</v>
      </c>
      <c r="C169" s="69" t="s">
        <v>186</v>
      </c>
      <c r="D169" s="68">
        <f>18000+2000</f>
        <v>20000</v>
      </c>
      <c r="E169" s="69" t="s">
        <v>37</v>
      </c>
      <c r="F169" s="69" t="s">
        <v>184</v>
      </c>
      <c r="G169" s="70"/>
      <c r="H169" s="79">
        <v>19800</v>
      </c>
      <c r="I169" s="71">
        <f t="shared" si="2"/>
        <v>200</v>
      </c>
      <c r="J169" s="72">
        <v>149</v>
      </c>
      <c r="K169" s="73"/>
    </row>
    <row r="170" spans="1:11" s="74" customFormat="1" ht="34.5" customHeight="1" x14ac:dyDescent="0.25">
      <c r="A170" s="70">
        <v>2</v>
      </c>
      <c r="B170" s="69">
        <v>19400000</v>
      </c>
      <c r="C170" s="69" t="s">
        <v>15</v>
      </c>
      <c r="D170" s="68">
        <v>9800</v>
      </c>
      <c r="E170" s="69" t="s">
        <v>12</v>
      </c>
      <c r="F170" s="69" t="s">
        <v>184</v>
      </c>
      <c r="G170" s="70"/>
      <c r="H170" s="79">
        <f>9758</f>
        <v>9758</v>
      </c>
      <c r="I170" s="71">
        <f t="shared" si="2"/>
        <v>42</v>
      </c>
      <c r="J170" s="76" t="s">
        <v>223</v>
      </c>
      <c r="K170" s="73"/>
    </row>
    <row r="171" spans="1:11" s="78" customFormat="1" ht="32.25" customHeight="1" x14ac:dyDescent="0.25">
      <c r="A171" s="70">
        <v>3</v>
      </c>
      <c r="B171" s="69">
        <v>22100000</v>
      </c>
      <c r="C171" s="70" t="s">
        <v>99</v>
      </c>
      <c r="D171" s="68">
        <f>120000-2000</f>
        <v>118000</v>
      </c>
      <c r="E171" s="69" t="s">
        <v>37</v>
      </c>
      <c r="F171" s="69" t="s">
        <v>13</v>
      </c>
      <c r="G171" s="70"/>
      <c r="H171" s="70"/>
      <c r="I171" s="71">
        <f t="shared" si="2"/>
        <v>118000</v>
      </c>
      <c r="J171" s="76"/>
      <c r="K171" s="77"/>
    </row>
    <row r="172" spans="1:11" s="78" customFormat="1" ht="32.25" customHeight="1" x14ac:dyDescent="0.25">
      <c r="A172" s="70">
        <v>4</v>
      </c>
      <c r="B172" s="69">
        <v>24900000</v>
      </c>
      <c r="C172" s="70" t="s">
        <v>21</v>
      </c>
      <c r="D172" s="68">
        <v>5300</v>
      </c>
      <c r="E172" s="69" t="s">
        <v>12</v>
      </c>
      <c r="F172" s="69" t="s">
        <v>184</v>
      </c>
      <c r="G172" s="70"/>
      <c r="H172" s="70">
        <v>5255</v>
      </c>
      <c r="I172" s="71">
        <f t="shared" si="2"/>
        <v>45</v>
      </c>
      <c r="J172" s="76">
        <v>102</v>
      </c>
      <c r="K172" s="77"/>
    </row>
    <row r="173" spans="1:11" s="78" customFormat="1" ht="32.25" customHeight="1" x14ac:dyDescent="0.25">
      <c r="A173" s="70">
        <v>5</v>
      </c>
      <c r="B173" s="69">
        <v>30100000</v>
      </c>
      <c r="C173" s="70" t="s">
        <v>22</v>
      </c>
      <c r="D173" s="68">
        <v>427000</v>
      </c>
      <c r="E173" s="69" t="s">
        <v>37</v>
      </c>
      <c r="F173" s="69" t="s">
        <v>13</v>
      </c>
      <c r="G173" s="70"/>
      <c r="H173" s="70">
        <f>6946.95+420000</f>
        <v>426946.95</v>
      </c>
      <c r="I173" s="69">
        <f t="shared" si="2"/>
        <v>53.049999999988358</v>
      </c>
      <c r="J173" s="76" t="s">
        <v>209</v>
      </c>
      <c r="K173" s="97"/>
    </row>
    <row r="174" spans="1:11" s="78" customFormat="1" ht="32.25" customHeight="1" x14ac:dyDescent="0.25">
      <c r="A174" s="70">
        <v>6</v>
      </c>
      <c r="B174" s="69">
        <v>30100000</v>
      </c>
      <c r="C174" s="70" t="s">
        <v>22</v>
      </c>
      <c r="D174" s="68">
        <v>363600</v>
      </c>
      <c r="E174" s="69" t="s">
        <v>37</v>
      </c>
      <c r="F174" s="69" t="s">
        <v>13</v>
      </c>
      <c r="G174" s="70"/>
      <c r="H174" s="70"/>
      <c r="I174" s="71">
        <f>D174-H174</f>
        <v>363600</v>
      </c>
      <c r="J174" s="76"/>
      <c r="K174" s="77"/>
    </row>
    <row r="175" spans="1:11" s="78" customFormat="1" ht="32.25" customHeight="1" x14ac:dyDescent="0.25">
      <c r="A175" s="70">
        <v>7</v>
      </c>
      <c r="B175" s="69">
        <v>30100000</v>
      </c>
      <c r="C175" s="70" t="s">
        <v>22</v>
      </c>
      <c r="D175" s="68">
        <v>4500</v>
      </c>
      <c r="E175" s="69" t="s">
        <v>23</v>
      </c>
      <c r="F175" s="69" t="s">
        <v>184</v>
      </c>
      <c r="G175" s="70"/>
      <c r="H175" s="70">
        <v>4365</v>
      </c>
      <c r="I175" s="71">
        <f>D175-H175</f>
        <v>135</v>
      </c>
      <c r="J175" s="76">
        <v>23</v>
      </c>
      <c r="K175" s="77"/>
    </row>
    <row r="176" spans="1:11" s="78" customFormat="1" ht="32.25" customHeight="1" x14ac:dyDescent="0.25">
      <c r="A176" s="70">
        <v>8</v>
      </c>
      <c r="B176" s="69">
        <v>30200000</v>
      </c>
      <c r="C176" s="70" t="s">
        <v>24</v>
      </c>
      <c r="D176" s="68">
        <v>345375</v>
      </c>
      <c r="E176" s="69" t="s">
        <v>23</v>
      </c>
      <c r="F176" s="69" t="s">
        <v>13</v>
      </c>
      <c r="G176" s="70"/>
      <c r="H176" s="70">
        <f>15750+329400</f>
        <v>345150</v>
      </c>
      <c r="I176" s="69">
        <f t="shared" si="2"/>
        <v>225</v>
      </c>
      <c r="J176" s="76" t="s">
        <v>197</v>
      </c>
      <c r="K176" s="77"/>
    </row>
    <row r="177" spans="1:11" s="78" customFormat="1" ht="28.5" customHeight="1" x14ac:dyDescent="0.25">
      <c r="A177" s="70">
        <v>9</v>
      </c>
      <c r="B177" s="69">
        <v>37300000</v>
      </c>
      <c r="C177" s="70" t="s">
        <v>132</v>
      </c>
      <c r="D177" s="68">
        <v>60000</v>
      </c>
      <c r="E177" s="69" t="s">
        <v>37</v>
      </c>
      <c r="F177" s="69" t="s">
        <v>13</v>
      </c>
      <c r="G177" s="69"/>
      <c r="H177" s="70">
        <v>60000</v>
      </c>
      <c r="I177" s="69">
        <f t="shared" si="2"/>
        <v>0</v>
      </c>
      <c r="J177" s="76">
        <v>100</v>
      </c>
      <c r="K177" s="77"/>
    </row>
    <row r="178" spans="1:11" s="78" customFormat="1" ht="18" customHeight="1" x14ac:dyDescent="0.25">
      <c r="A178" s="70">
        <v>10</v>
      </c>
      <c r="B178" s="69">
        <v>37400000</v>
      </c>
      <c r="C178" s="70" t="s">
        <v>128</v>
      </c>
      <c r="D178" s="68">
        <v>210000</v>
      </c>
      <c r="E178" s="69" t="s">
        <v>37</v>
      </c>
      <c r="F178" s="69" t="s">
        <v>13</v>
      </c>
      <c r="G178" s="70"/>
      <c r="H178" s="70">
        <v>164950</v>
      </c>
      <c r="I178" s="71">
        <f t="shared" si="2"/>
        <v>45050</v>
      </c>
      <c r="J178" s="76">
        <v>103</v>
      </c>
      <c r="K178" s="77"/>
    </row>
    <row r="179" spans="1:11" s="78" customFormat="1" ht="36" customHeight="1" x14ac:dyDescent="0.25">
      <c r="A179" s="70">
        <v>11</v>
      </c>
      <c r="B179" s="69">
        <v>37800000</v>
      </c>
      <c r="C179" s="70" t="s">
        <v>155</v>
      </c>
      <c r="D179" s="68">
        <v>4500</v>
      </c>
      <c r="E179" s="69" t="s">
        <v>12</v>
      </c>
      <c r="F179" s="69" t="s">
        <v>184</v>
      </c>
      <c r="G179" s="70"/>
      <c r="H179" s="70">
        <v>4350</v>
      </c>
      <c r="I179" s="71">
        <f t="shared" si="2"/>
        <v>150</v>
      </c>
      <c r="J179" s="76">
        <v>102</v>
      </c>
      <c r="K179" s="77"/>
    </row>
    <row r="180" spans="1:11" s="78" customFormat="1" ht="18" customHeight="1" x14ac:dyDescent="0.25">
      <c r="A180" s="70">
        <v>12</v>
      </c>
      <c r="B180" s="69">
        <v>38500000</v>
      </c>
      <c r="C180" s="70" t="s">
        <v>234</v>
      </c>
      <c r="D180" s="68">
        <v>410000</v>
      </c>
      <c r="E180" s="69" t="s">
        <v>37</v>
      </c>
      <c r="F180" s="69" t="s">
        <v>231</v>
      </c>
      <c r="G180" s="70"/>
      <c r="H180" s="70"/>
      <c r="I180" s="71"/>
      <c r="J180" s="76"/>
      <c r="K180" s="77"/>
    </row>
    <row r="181" spans="1:11" s="78" customFormat="1" ht="18" customHeight="1" x14ac:dyDescent="0.25">
      <c r="A181" s="70">
        <v>13</v>
      </c>
      <c r="B181" s="69">
        <v>39100000</v>
      </c>
      <c r="C181" s="70" t="s">
        <v>36</v>
      </c>
      <c r="D181" s="68">
        <v>14000</v>
      </c>
      <c r="E181" s="69" t="s">
        <v>23</v>
      </c>
      <c r="F181" s="69"/>
      <c r="G181" s="70"/>
      <c r="H181" s="70">
        <v>13907.7</v>
      </c>
      <c r="I181" s="69">
        <f t="shared" si="2"/>
        <v>92.299999999999272</v>
      </c>
      <c r="J181" s="76">
        <v>71</v>
      </c>
      <c r="K181" s="77"/>
    </row>
    <row r="182" spans="1:11" s="74" customFormat="1" ht="18" customHeight="1" x14ac:dyDescent="0.25">
      <c r="A182" s="70">
        <v>14</v>
      </c>
      <c r="B182" s="69">
        <v>39100000</v>
      </c>
      <c r="C182" s="70" t="s">
        <v>36</v>
      </c>
      <c r="D182" s="68">
        <f>650000+130000</f>
        <v>780000</v>
      </c>
      <c r="E182" s="69" t="s">
        <v>37</v>
      </c>
      <c r="F182" s="69" t="s">
        <v>13</v>
      </c>
      <c r="G182" s="70"/>
      <c r="H182" s="70">
        <v>192245.6</v>
      </c>
      <c r="I182" s="71">
        <f t="shared" si="2"/>
        <v>587754.4</v>
      </c>
      <c r="J182" s="72">
        <v>123</v>
      </c>
      <c r="K182" s="73"/>
    </row>
    <row r="183" spans="1:11" s="74" customFormat="1" ht="18" customHeight="1" x14ac:dyDescent="0.25">
      <c r="A183" s="70">
        <v>15</v>
      </c>
      <c r="B183" s="69">
        <v>39700000</v>
      </c>
      <c r="C183" s="70" t="s">
        <v>40</v>
      </c>
      <c r="D183" s="68">
        <v>9225</v>
      </c>
      <c r="E183" s="69" t="s">
        <v>12</v>
      </c>
      <c r="F183" s="69" t="s">
        <v>13</v>
      </c>
      <c r="G183" s="70"/>
      <c r="H183" s="70">
        <v>9225</v>
      </c>
      <c r="I183" s="71">
        <f t="shared" si="2"/>
        <v>0</v>
      </c>
      <c r="J183" s="72">
        <v>94</v>
      </c>
      <c r="K183" s="73"/>
    </row>
    <row r="184" spans="1:11" s="74" customFormat="1" ht="21.75" customHeight="1" x14ac:dyDescent="0.25">
      <c r="A184" s="70">
        <v>16</v>
      </c>
      <c r="B184" s="69">
        <v>42700000</v>
      </c>
      <c r="C184" s="70" t="s">
        <v>180</v>
      </c>
      <c r="D184" s="68">
        <v>19500</v>
      </c>
      <c r="E184" s="69" t="s">
        <v>37</v>
      </c>
      <c r="F184" s="69" t="s">
        <v>13</v>
      </c>
      <c r="G184" s="70"/>
      <c r="H184" s="70">
        <v>17700</v>
      </c>
      <c r="I184" s="71">
        <f>D184-H184</f>
        <v>1800</v>
      </c>
      <c r="J184" s="72">
        <v>69</v>
      </c>
      <c r="K184" s="73"/>
    </row>
    <row r="185" spans="1:11" s="74" customFormat="1" ht="21.75" customHeight="1" x14ac:dyDescent="0.25">
      <c r="A185" s="70">
        <v>17</v>
      </c>
      <c r="B185" s="69">
        <v>44400000</v>
      </c>
      <c r="C185" s="70" t="s">
        <v>45</v>
      </c>
      <c r="D185" s="68">
        <v>2000</v>
      </c>
      <c r="E185" s="69" t="s">
        <v>12</v>
      </c>
      <c r="F185" s="69" t="s">
        <v>184</v>
      </c>
      <c r="G185" s="70"/>
      <c r="H185" s="70">
        <v>1950</v>
      </c>
      <c r="I185" s="71">
        <f>D185-H185</f>
        <v>50</v>
      </c>
      <c r="J185" s="72">
        <v>102</v>
      </c>
      <c r="K185" s="73"/>
    </row>
    <row r="186" spans="1:11" s="74" customFormat="1" ht="21.75" customHeight="1" x14ac:dyDescent="0.25">
      <c r="A186" s="70">
        <v>18</v>
      </c>
      <c r="B186" s="69">
        <v>44500000</v>
      </c>
      <c r="C186" s="70" t="s">
        <v>46</v>
      </c>
      <c r="D186" s="68">
        <v>900</v>
      </c>
      <c r="E186" s="69" t="s">
        <v>12</v>
      </c>
      <c r="F186" s="69" t="s">
        <v>184</v>
      </c>
      <c r="G186" s="70"/>
      <c r="H186" s="70">
        <v>900</v>
      </c>
      <c r="I186" s="71">
        <f>D186-H186</f>
        <v>0</v>
      </c>
      <c r="J186" s="72">
        <v>102</v>
      </c>
      <c r="K186" s="73"/>
    </row>
    <row r="187" spans="1:11" s="74" customFormat="1" ht="21.75" customHeight="1" x14ac:dyDescent="0.25">
      <c r="A187" s="70">
        <v>19</v>
      </c>
      <c r="B187" s="69">
        <v>44800000</v>
      </c>
      <c r="C187" s="70" t="s">
        <v>156</v>
      </c>
      <c r="D187" s="68">
        <v>4800</v>
      </c>
      <c r="E187" s="69" t="s">
        <v>12</v>
      </c>
      <c r="F187" s="69" t="s">
        <v>184</v>
      </c>
      <c r="G187" s="70"/>
      <c r="H187" s="70">
        <v>4800</v>
      </c>
      <c r="I187" s="71">
        <f>D187-H187</f>
        <v>0</v>
      </c>
      <c r="J187" s="72">
        <v>102</v>
      </c>
      <c r="K187" s="73"/>
    </row>
    <row r="188" spans="1:11" s="74" customFormat="1" ht="18" customHeight="1" x14ac:dyDescent="0.25">
      <c r="A188" s="70">
        <v>20</v>
      </c>
      <c r="B188" s="69">
        <v>45400000</v>
      </c>
      <c r="C188" s="70" t="s">
        <v>92</v>
      </c>
      <c r="D188" s="68">
        <v>226500</v>
      </c>
      <c r="E188" s="69" t="s">
        <v>37</v>
      </c>
      <c r="F188" s="69" t="s">
        <v>13</v>
      </c>
      <c r="G188" s="69"/>
      <c r="H188" s="70">
        <f>127727</f>
        <v>127727</v>
      </c>
      <c r="I188" s="71">
        <f t="shared" ref="I188:I260" si="3">D188-H188</f>
        <v>98773</v>
      </c>
      <c r="J188" s="72" t="s">
        <v>193</v>
      </c>
      <c r="K188" s="73"/>
    </row>
    <row r="189" spans="1:11" s="74" customFormat="1" ht="18" customHeight="1" x14ac:dyDescent="0.25">
      <c r="A189" s="70">
        <v>21</v>
      </c>
      <c r="B189" s="69">
        <v>71200000</v>
      </c>
      <c r="C189" s="70" t="s">
        <v>96</v>
      </c>
      <c r="D189" s="68">
        <v>40000</v>
      </c>
      <c r="E189" s="69" t="s">
        <v>37</v>
      </c>
      <c r="F189" s="69" t="s">
        <v>13</v>
      </c>
      <c r="G189" s="69"/>
      <c r="H189" s="70"/>
      <c r="I189" s="71">
        <f t="shared" si="3"/>
        <v>40000</v>
      </c>
      <c r="J189" s="72"/>
      <c r="K189" s="73"/>
    </row>
    <row r="190" spans="1:11" s="74" customFormat="1" ht="20.25" customHeight="1" x14ac:dyDescent="0.25">
      <c r="A190" s="92" t="s">
        <v>139</v>
      </c>
      <c r="B190" s="98"/>
      <c r="C190" s="99"/>
      <c r="D190" s="83">
        <f>SUM(D191:D192)</f>
        <v>8947200</v>
      </c>
      <c r="E190" s="69"/>
      <c r="F190" s="69"/>
      <c r="G190" s="69"/>
      <c r="H190" s="71"/>
      <c r="I190" s="71"/>
      <c r="J190" s="72"/>
      <c r="K190" s="73"/>
    </row>
    <row r="191" spans="1:11" s="74" customFormat="1" ht="18" customHeight="1" x14ac:dyDescent="0.25">
      <c r="A191" s="69">
        <v>1</v>
      </c>
      <c r="B191" s="69">
        <v>60100000</v>
      </c>
      <c r="C191" s="70" t="s">
        <v>109</v>
      </c>
      <c r="D191" s="68">
        <f>6397200+10000+2500000</f>
        <v>8907200</v>
      </c>
      <c r="E191" s="69" t="s">
        <v>118</v>
      </c>
      <c r="F191" s="69" t="s">
        <v>13</v>
      </c>
      <c r="G191" s="69"/>
      <c r="H191" s="71">
        <f>188291.15+2874263.13+1006215.03+2009664.33+1005460.57+1165715.78</f>
        <v>8249609.9900000002</v>
      </c>
      <c r="I191" s="69">
        <f t="shared" si="3"/>
        <v>657590.00999999978</v>
      </c>
      <c r="J191" s="72" t="s">
        <v>191</v>
      </c>
      <c r="K191" s="73"/>
    </row>
    <row r="192" spans="1:11" s="74" customFormat="1" ht="18" customHeight="1" x14ac:dyDescent="0.25">
      <c r="A192" s="69">
        <v>2</v>
      </c>
      <c r="B192" s="69">
        <v>60100000</v>
      </c>
      <c r="C192" s="70" t="s">
        <v>109</v>
      </c>
      <c r="D192" s="68">
        <v>40000</v>
      </c>
      <c r="E192" s="69" t="s">
        <v>37</v>
      </c>
      <c r="F192" s="69" t="s">
        <v>13</v>
      </c>
      <c r="G192" s="69"/>
      <c r="H192" s="71">
        <f>23850</f>
        <v>23850</v>
      </c>
      <c r="I192" s="71">
        <f t="shared" si="3"/>
        <v>16150</v>
      </c>
      <c r="J192" s="72" t="s">
        <v>192</v>
      </c>
      <c r="K192" s="73"/>
    </row>
    <row r="193" spans="1:11" s="74" customFormat="1" ht="27.75" customHeight="1" x14ac:dyDescent="0.25">
      <c r="A193" s="88"/>
      <c r="B193" s="89"/>
      <c r="C193" s="90" t="s">
        <v>100</v>
      </c>
      <c r="D193" s="91">
        <f>D195+D203+D207+D212+D215+D219</f>
        <v>1021891</v>
      </c>
      <c r="E193" s="69"/>
      <c r="F193" s="69"/>
      <c r="G193" s="70"/>
      <c r="H193" s="79"/>
      <c r="I193" s="71"/>
      <c r="J193" s="72"/>
      <c r="K193" s="73"/>
    </row>
    <row r="194" spans="1:11" s="74" customFormat="1" ht="19.5" customHeight="1" x14ac:dyDescent="0.25">
      <c r="A194" s="92" t="s">
        <v>138</v>
      </c>
      <c r="B194" s="81"/>
      <c r="C194" s="82"/>
      <c r="D194" s="68"/>
      <c r="E194" s="69"/>
      <c r="F194" s="69"/>
      <c r="G194" s="69"/>
      <c r="H194" s="71"/>
      <c r="I194" s="71"/>
      <c r="J194" s="72"/>
      <c r="K194" s="73"/>
    </row>
    <row r="195" spans="1:11" s="74" customFormat="1" ht="25.5" customHeight="1" x14ac:dyDescent="0.25">
      <c r="A195" s="92" t="s">
        <v>102</v>
      </c>
      <c r="B195" s="81"/>
      <c r="C195" s="82"/>
      <c r="D195" s="83">
        <f>SUM(D196:D202)</f>
        <v>740000</v>
      </c>
      <c r="E195" s="69"/>
      <c r="F195" s="69"/>
      <c r="G195" s="69"/>
      <c r="H195" s="71"/>
      <c r="I195" s="71"/>
      <c r="J195" s="72"/>
      <c r="K195" s="73"/>
    </row>
    <row r="196" spans="1:11" s="74" customFormat="1" ht="25.5" customHeight="1" x14ac:dyDescent="0.25">
      <c r="A196" s="70">
        <v>1</v>
      </c>
      <c r="B196" s="69">
        <v>18500000</v>
      </c>
      <c r="C196" s="70" t="s">
        <v>14</v>
      </c>
      <c r="D196" s="68">
        <v>1800</v>
      </c>
      <c r="E196" s="69" t="s">
        <v>12</v>
      </c>
      <c r="F196" s="69" t="s">
        <v>13</v>
      </c>
      <c r="G196" s="69" t="s">
        <v>117</v>
      </c>
      <c r="H196" s="71">
        <f>1785</f>
        <v>1785</v>
      </c>
      <c r="I196" s="71">
        <f t="shared" si="3"/>
        <v>15</v>
      </c>
      <c r="J196" s="72">
        <v>35</v>
      </c>
      <c r="K196" s="73"/>
    </row>
    <row r="197" spans="1:11" s="74" customFormat="1" ht="25.5" customHeight="1" x14ac:dyDescent="0.25">
      <c r="A197" s="70">
        <v>2</v>
      </c>
      <c r="B197" s="69">
        <v>22400000</v>
      </c>
      <c r="C197" s="70" t="s">
        <v>136</v>
      </c>
      <c r="D197" s="68">
        <v>1818</v>
      </c>
      <c r="E197" s="69" t="s">
        <v>37</v>
      </c>
      <c r="F197" s="69" t="s">
        <v>13</v>
      </c>
      <c r="G197" s="69"/>
      <c r="H197" s="71">
        <f>1818</f>
        <v>1818</v>
      </c>
      <c r="I197" s="71">
        <f t="shared" si="3"/>
        <v>0</v>
      </c>
      <c r="J197" s="72">
        <v>44</v>
      </c>
      <c r="K197" s="73"/>
    </row>
    <row r="198" spans="1:11" s="74" customFormat="1" ht="24" x14ac:dyDescent="0.25">
      <c r="A198" s="70">
        <v>3</v>
      </c>
      <c r="B198" s="69">
        <v>30200000</v>
      </c>
      <c r="C198" s="70" t="s">
        <v>24</v>
      </c>
      <c r="D198" s="68">
        <v>60000</v>
      </c>
      <c r="E198" s="69" t="s">
        <v>23</v>
      </c>
      <c r="F198" s="69" t="s">
        <v>184</v>
      </c>
      <c r="G198" s="69"/>
      <c r="H198" s="71">
        <f>59400</f>
        <v>59400</v>
      </c>
      <c r="I198" s="71">
        <f t="shared" si="3"/>
        <v>600</v>
      </c>
      <c r="J198" s="72" t="s">
        <v>196</v>
      </c>
      <c r="K198" s="73"/>
    </row>
    <row r="199" spans="1:11" s="74" customFormat="1" ht="24" x14ac:dyDescent="0.25">
      <c r="A199" s="70">
        <v>4</v>
      </c>
      <c r="B199" s="69">
        <v>30200000</v>
      </c>
      <c r="C199" s="70" t="s">
        <v>24</v>
      </c>
      <c r="D199" s="68">
        <v>57200</v>
      </c>
      <c r="E199" s="69" t="s">
        <v>37</v>
      </c>
      <c r="F199" s="69" t="s">
        <v>13</v>
      </c>
      <c r="G199" s="69"/>
      <c r="H199" s="71">
        <v>45792</v>
      </c>
      <c r="I199" s="71">
        <f>D199-H199</f>
        <v>11408</v>
      </c>
      <c r="J199" s="72">
        <v>126</v>
      </c>
      <c r="K199" s="73"/>
    </row>
    <row r="200" spans="1:11" s="74" customFormat="1" ht="24" x14ac:dyDescent="0.25">
      <c r="A200" s="70">
        <v>5</v>
      </c>
      <c r="B200" s="69">
        <v>31400000</v>
      </c>
      <c r="C200" s="70" t="s">
        <v>28</v>
      </c>
      <c r="D200" s="68">
        <v>1000</v>
      </c>
      <c r="E200" s="69" t="s">
        <v>12</v>
      </c>
      <c r="F200" s="69" t="s">
        <v>13</v>
      </c>
      <c r="G200" s="69" t="s">
        <v>117</v>
      </c>
      <c r="H200" s="71"/>
      <c r="I200" s="71">
        <f t="shared" si="3"/>
        <v>1000</v>
      </c>
      <c r="J200" s="72"/>
      <c r="K200" s="73"/>
    </row>
    <row r="201" spans="1:11" s="74" customFormat="1" ht="27.75" customHeight="1" x14ac:dyDescent="0.25">
      <c r="A201" s="70">
        <v>6</v>
      </c>
      <c r="B201" s="69">
        <v>79900000</v>
      </c>
      <c r="C201" s="70" t="s">
        <v>103</v>
      </c>
      <c r="D201" s="68">
        <v>518182</v>
      </c>
      <c r="E201" s="69" t="s">
        <v>37</v>
      </c>
      <c r="F201" s="69" t="s">
        <v>13</v>
      </c>
      <c r="G201" s="70"/>
      <c r="H201" s="79">
        <f>298600+49121+16876+34240+24020</f>
        <v>422857</v>
      </c>
      <c r="I201" s="71">
        <f t="shared" si="3"/>
        <v>95325</v>
      </c>
      <c r="J201" s="72" t="s">
        <v>228</v>
      </c>
      <c r="K201" s="73"/>
    </row>
    <row r="202" spans="1:11" s="74" customFormat="1" ht="27" customHeight="1" x14ac:dyDescent="0.25">
      <c r="A202" s="70">
        <v>7</v>
      </c>
      <c r="B202" s="69">
        <v>80200000</v>
      </c>
      <c r="C202" s="70" t="s">
        <v>104</v>
      </c>
      <c r="D202" s="68">
        <v>100000</v>
      </c>
      <c r="E202" s="69" t="s">
        <v>37</v>
      </c>
      <c r="F202" s="69" t="s">
        <v>13</v>
      </c>
      <c r="G202" s="70"/>
      <c r="H202" s="79">
        <f>34747+62222</f>
        <v>96969</v>
      </c>
      <c r="I202" s="71">
        <f t="shared" si="3"/>
        <v>3031</v>
      </c>
      <c r="J202" s="72" t="s">
        <v>207</v>
      </c>
      <c r="K202" s="73"/>
    </row>
    <row r="203" spans="1:11" s="74" customFormat="1" ht="27" customHeight="1" x14ac:dyDescent="0.25">
      <c r="A203" s="92" t="s">
        <v>260</v>
      </c>
      <c r="B203" s="81"/>
      <c r="C203" s="82"/>
      <c r="D203" s="83">
        <f>D204+D205</f>
        <v>11871</v>
      </c>
      <c r="E203" s="69"/>
      <c r="F203" s="69"/>
      <c r="G203" s="70"/>
      <c r="H203" s="79"/>
      <c r="I203" s="71"/>
      <c r="J203" s="72"/>
      <c r="K203" s="73"/>
    </row>
    <row r="204" spans="1:11" s="74" customFormat="1" ht="45.75" customHeight="1" x14ac:dyDescent="0.25">
      <c r="A204" s="100">
        <v>1</v>
      </c>
      <c r="B204" s="69">
        <v>55300000</v>
      </c>
      <c r="C204" s="70" t="s">
        <v>72</v>
      </c>
      <c r="D204" s="68">
        <v>3870</v>
      </c>
      <c r="E204" s="69" t="s">
        <v>12</v>
      </c>
      <c r="F204" s="69" t="s">
        <v>231</v>
      </c>
      <c r="G204" s="70" t="s">
        <v>67</v>
      </c>
      <c r="H204" s="79">
        <v>3870</v>
      </c>
      <c r="I204" s="71">
        <f>D204-H204</f>
        <v>0</v>
      </c>
      <c r="J204" s="72" t="s">
        <v>262</v>
      </c>
      <c r="K204" s="73"/>
    </row>
    <row r="205" spans="1:11" s="74" customFormat="1" ht="44.25" customHeight="1" x14ac:dyDescent="0.25">
      <c r="A205" s="100">
        <v>2</v>
      </c>
      <c r="B205" s="69">
        <v>79900000</v>
      </c>
      <c r="C205" s="70" t="s">
        <v>103</v>
      </c>
      <c r="D205" s="68">
        <v>8001</v>
      </c>
      <c r="E205" s="69" t="s">
        <v>12</v>
      </c>
      <c r="F205" s="69" t="s">
        <v>157</v>
      </c>
      <c r="G205" s="70" t="s">
        <v>67</v>
      </c>
      <c r="H205" s="79">
        <v>8000.4</v>
      </c>
      <c r="I205" s="71">
        <f>D205-H205</f>
        <v>0.6000000000003638</v>
      </c>
      <c r="J205" s="72" t="s">
        <v>261</v>
      </c>
      <c r="K205" s="73"/>
    </row>
    <row r="206" spans="1:11" s="74" customFormat="1" ht="18.75" customHeight="1" x14ac:dyDescent="0.25">
      <c r="A206" s="101" t="s">
        <v>140</v>
      </c>
      <c r="B206" s="102"/>
      <c r="C206" s="103"/>
      <c r="D206" s="68"/>
      <c r="E206" s="69"/>
      <c r="F206" s="69"/>
      <c r="G206" s="70"/>
      <c r="H206" s="79"/>
      <c r="I206" s="71"/>
      <c r="J206" s="72"/>
      <c r="K206" s="73"/>
    </row>
    <row r="207" spans="1:11" s="74" customFormat="1" ht="33" customHeight="1" x14ac:dyDescent="0.25">
      <c r="A207" s="92" t="s">
        <v>169</v>
      </c>
      <c r="B207" s="81"/>
      <c r="C207" s="82"/>
      <c r="D207" s="83">
        <f>D208+D209+D210+D211</f>
        <v>200000</v>
      </c>
      <c r="E207" s="69"/>
      <c r="F207" s="69"/>
      <c r="G207" s="70"/>
      <c r="H207" s="79"/>
      <c r="I207" s="71"/>
      <c r="J207" s="72"/>
      <c r="K207" s="73"/>
    </row>
    <row r="208" spans="1:11" s="74" customFormat="1" ht="33" customHeight="1" x14ac:dyDescent="0.25">
      <c r="A208" s="70">
        <v>1</v>
      </c>
      <c r="B208" s="69">
        <v>22400000</v>
      </c>
      <c r="C208" s="70" t="s">
        <v>19</v>
      </c>
      <c r="D208" s="68">
        <v>10000</v>
      </c>
      <c r="E208" s="69" t="s">
        <v>37</v>
      </c>
      <c r="F208" s="69" t="s">
        <v>13</v>
      </c>
      <c r="G208" s="70"/>
      <c r="H208" s="79"/>
      <c r="I208" s="71">
        <f t="shared" si="3"/>
        <v>10000</v>
      </c>
      <c r="J208" s="72"/>
      <c r="K208" s="73"/>
    </row>
    <row r="209" spans="1:15" s="74" customFormat="1" ht="33" customHeight="1" x14ac:dyDescent="0.25">
      <c r="A209" s="70">
        <v>2</v>
      </c>
      <c r="B209" s="69">
        <v>55100000</v>
      </c>
      <c r="C209" s="70" t="s">
        <v>71</v>
      </c>
      <c r="D209" s="68">
        <v>45000</v>
      </c>
      <c r="E209" s="69" t="s">
        <v>37</v>
      </c>
      <c r="F209" s="69" t="s">
        <v>231</v>
      </c>
      <c r="G209" s="70"/>
      <c r="H209" s="79">
        <v>36600</v>
      </c>
      <c r="I209" s="71">
        <f t="shared" si="3"/>
        <v>8400</v>
      </c>
      <c r="J209" s="72">
        <v>145</v>
      </c>
      <c r="K209" s="104"/>
    </row>
    <row r="210" spans="1:15" s="74" customFormat="1" ht="33" customHeight="1" x14ac:dyDescent="0.25">
      <c r="A210" s="70">
        <v>3</v>
      </c>
      <c r="B210" s="69">
        <v>55300000</v>
      </c>
      <c r="C210" s="70" t="s">
        <v>72</v>
      </c>
      <c r="D210" s="68">
        <v>11000</v>
      </c>
      <c r="E210" s="69" t="s">
        <v>37</v>
      </c>
      <c r="F210" s="69" t="s">
        <v>231</v>
      </c>
      <c r="G210" s="70"/>
      <c r="H210" s="79">
        <v>8805</v>
      </c>
      <c r="I210" s="71">
        <f t="shared" si="3"/>
        <v>2195</v>
      </c>
      <c r="J210" s="72" t="s">
        <v>248</v>
      </c>
      <c r="K210" s="104"/>
    </row>
    <row r="211" spans="1:15" s="74" customFormat="1" ht="33" customHeight="1" x14ac:dyDescent="0.25">
      <c r="A211" s="70">
        <v>4</v>
      </c>
      <c r="B211" s="69">
        <v>79900000</v>
      </c>
      <c r="C211" s="70" t="s">
        <v>103</v>
      </c>
      <c r="D211" s="68">
        <f>(40000+150000)-45000-11000</f>
        <v>134000</v>
      </c>
      <c r="E211" s="69" t="s">
        <v>37</v>
      </c>
      <c r="F211" s="69" t="s">
        <v>13</v>
      </c>
      <c r="G211" s="70" t="s">
        <v>105</v>
      </c>
      <c r="H211" s="79"/>
      <c r="I211" s="71">
        <f t="shared" si="3"/>
        <v>134000</v>
      </c>
      <c r="J211" s="72"/>
      <c r="K211" s="73"/>
    </row>
    <row r="212" spans="1:15" s="74" customFormat="1" ht="24.75" customHeight="1" x14ac:dyDescent="0.25">
      <c r="A212" s="92" t="s">
        <v>101</v>
      </c>
      <c r="B212" s="98"/>
      <c r="C212" s="99"/>
      <c r="D212" s="105">
        <f>D214+D213</f>
        <v>40000</v>
      </c>
      <c r="E212" s="106"/>
      <c r="F212" s="69"/>
      <c r="G212" s="70"/>
      <c r="H212" s="79"/>
      <c r="I212" s="71">
        <f t="shared" si="3"/>
        <v>40000</v>
      </c>
      <c r="J212" s="72"/>
      <c r="K212" s="73"/>
    </row>
    <row r="213" spans="1:15" s="74" customFormat="1" ht="24.75" customHeight="1" x14ac:dyDescent="0.25">
      <c r="A213" s="70">
        <v>1</v>
      </c>
      <c r="B213" s="70">
        <v>79419000</v>
      </c>
      <c r="C213" s="70" t="s">
        <v>230</v>
      </c>
      <c r="D213" s="107">
        <v>1050</v>
      </c>
      <c r="E213" s="106" t="s">
        <v>12</v>
      </c>
      <c r="F213" s="69" t="s">
        <v>231</v>
      </c>
      <c r="G213" s="70"/>
      <c r="H213" s="79">
        <v>1050</v>
      </c>
      <c r="I213" s="71">
        <f t="shared" si="3"/>
        <v>0</v>
      </c>
      <c r="J213" s="72" t="s">
        <v>232</v>
      </c>
      <c r="K213" s="73"/>
    </row>
    <row r="214" spans="1:15" s="74" customFormat="1" ht="36.75" customHeight="1" x14ac:dyDescent="0.25">
      <c r="A214" s="70">
        <v>2</v>
      </c>
      <c r="B214" s="69">
        <v>79900000</v>
      </c>
      <c r="C214" s="70" t="s">
        <v>103</v>
      </c>
      <c r="D214" s="68">
        <f>40000-1050</f>
        <v>38950</v>
      </c>
      <c r="E214" s="69" t="s">
        <v>37</v>
      </c>
      <c r="F214" s="69" t="s">
        <v>13</v>
      </c>
      <c r="G214" s="70"/>
      <c r="H214" s="79"/>
      <c r="I214" s="71">
        <f t="shared" si="3"/>
        <v>38950</v>
      </c>
      <c r="J214" s="72"/>
      <c r="K214" s="73"/>
    </row>
    <row r="215" spans="1:15" s="74" customFormat="1" ht="27" customHeight="1" x14ac:dyDescent="0.25">
      <c r="A215" s="92" t="s">
        <v>171</v>
      </c>
      <c r="B215" s="98"/>
      <c r="C215" s="99"/>
      <c r="D215" s="83">
        <f>D216+D217+D218</f>
        <v>10020</v>
      </c>
      <c r="E215" s="69"/>
      <c r="F215" s="69"/>
      <c r="G215" s="70"/>
      <c r="H215" s="79"/>
      <c r="I215" s="71"/>
      <c r="J215" s="72"/>
      <c r="K215" s="73"/>
      <c r="L215" s="108"/>
      <c r="M215" s="108"/>
      <c r="N215" s="108"/>
      <c r="O215" s="108"/>
    </row>
    <row r="216" spans="1:15" s="74" customFormat="1" ht="39.75" customHeight="1" x14ac:dyDescent="0.25">
      <c r="A216" s="70">
        <v>1</v>
      </c>
      <c r="B216" s="70">
        <v>22400000</v>
      </c>
      <c r="C216" s="70" t="s">
        <v>19</v>
      </c>
      <c r="D216" s="107">
        <v>2350</v>
      </c>
      <c r="E216" s="109" t="s">
        <v>37</v>
      </c>
      <c r="F216" s="69" t="s">
        <v>13</v>
      </c>
      <c r="G216" s="70"/>
      <c r="H216" s="79"/>
      <c r="I216" s="71">
        <f t="shared" si="3"/>
        <v>2350</v>
      </c>
      <c r="J216" s="72"/>
      <c r="K216" s="73"/>
      <c r="L216" s="108"/>
      <c r="M216" s="108"/>
      <c r="N216" s="108"/>
      <c r="O216" s="108"/>
    </row>
    <row r="217" spans="1:15" s="74" customFormat="1" ht="27" customHeight="1" x14ac:dyDescent="0.25">
      <c r="A217" s="70">
        <v>2</v>
      </c>
      <c r="B217" s="69">
        <v>79900000</v>
      </c>
      <c r="C217" s="70" t="s">
        <v>103</v>
      </c>
      <c r="D217" s="68">
        <v>4120</v>
      </c>
      <c r="E217" s="69" t="s">
        <v>37</v>
      </c>
      <c r="F217" s="69" t="s">
        <v>13</v>
      </c>
      <c r="G217" s="70" t="s">
        <v>105</v>
      </c>
      <c r="H217" s="79">
        <v>4000</v>
      </c>
      <c r="I217" s="71">
        <f t="shared" si="3"/>
        <v>120</v>
      </c>
      <c r="J217" s="72" t="s">
        <v>222</v>
      </c>
      <c r="K217" s="73"/>
      <c r="L217" s="108"/>
      <c r="M217" s="108"/>
      <c r="N217" s="108"/>
      <c r="O217" s="108"/>
    </row>
    <row r="218" spans="1:15" s="74" customFormat="1" ht="27" customHeight="1" x14ac:dyDescent="0.25">
      <c r="A218" s="100">
        <v>3</v>
      </c>
      <c r="B218" s="69">
        <v>80500000</v>
      </c>
      <c r="C218" s="70" t="s">
        <v>112</v>
      </c>
      <c r="D218" s="68">
        <v>3550</v>
      </c>
      <c r="E218" s="69" t="s">
        <v>37</v>
      </c>
      <c r="F218" s="69" t="s">
        <v>13</v>
      </c>
      <c r="G218" s="70"/>
      <c r="H218" s="79">
        <v>3528</v>
      </c>
      <c r="I218" s="69">
        <f t="shared" si="3"/>
        <v>22</v>
      </c>
      <c r="J218" s="72">
        <v>68</v>
      </c>
      <c r="K218" s="73"/>
      <c r="L218" s="108"/>
      <c r="M218" s="108"/>
      <c r="N218" s="108"/>
      <c r="O218" s="108"/>
    </row>
    <row r="219" spans="1:15" s="74" customFormat="1" ht="27" customHeight="1" x14ac:dyDescent="0.25">
      <c r="A219" s="92" t="s">
        <v>173</v>
      </c>
      <c r="B219" s="81"/>
      <c r="C219" s="82"/>
      <c r="D219" s="83">
        <f>D220+D221</f>
        <v>20000</v>
      </c>
      <c r="E219" s="69"/>
      <c r="F219" s="69"/>
      <c r="G219" s="70"/>
      <c r="H219" s="79"/>
      <c r="I219" s="71"/>
      <c r="J219" s="72"/>
      <c r="K219" s="73"/>
      <c r="L219" s="108"/>
      <c r="M219" s="108"/>
      <c r="N219" s="108"/>
      <c r="O219" s="108"/>
    </row>
    <row r="220" spans="1:15" s="74" customFormat="1" ht="27" customHeight="1" x14ac:dyDescent="0.25">
      <c r="A220" s="70">
        <v>1</v>
      </c>
      <c r="B220" s="69">
        <v>22400000</v>
      </c>
      <c r="C220" s="70" t="s">
        <v>19</v>
      </c>
      <c r="D220" s="68">
        <v>11000</v>
      </c>
      <c r="E220" s="69" t="s">
        <v>37</v>
      </c>
      <c r="F220" s="69" t="s">
        <v>13</v>
      </c>
      <c r="G220" s="70"/>
      <c r="H220" s="79"/>
      <c r="I220" s="71">
        <f t="shared" si="3"/>
        <v>11000</v>
      </c>
      <c r="J220" s="72"/>
      <c r="K220" s="73"/>
      <c r="L220" s="108"/>
      <c r="M220" s="108"/>
      <c r="N220" s="108"/>
      <c r="O220" s="108"/>
    </row>
    <row r="221" spans="1:15" s="74" customFormat="1" ht="27" customHeight="1" x14ac:dyDescent="0.25">
      <c r="A221" s="70">
        <v>2</v>
      </c>
      <c r="B221" s="69">
        <v>79900000</v>
      </c>
      <c r="C221" s="70" t="s">
        <v>103</v>
      </c>
      <c r="D221" s="68">
        <v>9000</v>
      </c>
      <c r="E221" s="69" t="s">
        <v>37</v>
      </c>
      <c r="F221" s="69" t="s">
        <v>13</v>
      </c>
      <c r="G221" s="70"/>
      <c r="H221" s="79"/>
      <c r="I221" s="71">
        <f t="shared" si="3"/>
        <v>9000</v>
      </c>
      <c r="J221" s="72"/>
      <c r="K221" s="73"/>
      <c r="L221" s="108"/>
      <c r="M221" s="108"/>
      <c r="N221" s="108"/>
      <c r="O221" s="108"/>
    </row>
    <row r="222" spans="1:15" s="74" customFormat="1" ht="30" customHeight="1" x14ac:dyDescent="0.25">
      <c r="A222" s="100"/>
      <c r="B222" s="89"/>
      <c r="C222" s="90" t="s">
        <v>106</v>
      </c>
      <c r="D222" s="91">
        <f>D224+D237+D241+D253+D261</f>
        <v>5302230</v>
      </c>
      <c r="E222" s="69"/>
      <c r="F222" s="69"/>
      <c r="G222" s="69"/>
      <c r="H222" s="71"/>
      <c r="I222" s="71"/>
      <c r="J222" s="72"/>
      <c r="K222" s="73"/>
    </row>
    <row r="223" spans="1:15" s="74" customFormat="1" ht="36.75" customHeight="1" x14ac:dyDescent="0.25">
      <c r="A223" s="92" t="s">
        <v>107</v>
      </c>
      <c r="B223" s="81"/>
      <c r="C223" s="82"/>
      <c r="D223" s="68"/>
      <c r="E223" s="69"/>
      <c r="F223" s="69"/>
      <c r="G223" s="69"/>
      <c r="H223" s="71"/>
      <c r="I223" s="71"/>
      <c r="J223" s="72"/>
      <c r="K223" s="73"/>
    </row>
    <row r="224" spans="1:15" s="74" customFormat="1" ht="23.25" customHeight="1" x14ac:dyDescent="0.25">
      <c r="A224" s="92" t="s">
        <v>163</v>
      </c>
      <c r="B224" s="81"/>
      <c r="C224" s="82"/>
      <c r="D224" s="83">
        <f>SUM(D225:D236)</f>
        <v>1340200</v>
      </c>
      <c r="E224" s="69"/>
      <c r="F224" s="69"/>
      <c r="G224" s="69"/>
      <c r="H224" s="71"/>
      <c r="I224" s="71"/>
      <c r="J224" s="72"/>
      <c r="K224" s="73">
        <f>704500-445000</f>
        <v>259500</v>
      </c>
    </row>
    <row r="225" spans="1:11" s="74" customFormat="1" ht="42" customHeight="1" x14ac:dyDescent="0.25">
      <c r="A225" s="70">
        <v>1</v>
      </c>
      <c r="B225" s="84">
        <v>22400000</v>
      </c>
      <c r="C225" s="70" t="s">
        <v>19</v>
      </c>
      <c r="D225" s="68">
        <v>100000</v>
      </c>
      <c r="E225" s="69" t="s">
        <v>37</v>
      </c>
      <c r="F225" s="69" t="s">
        <v>13</v>
      </c>
      <c r="G225" s="69"/>
      <c r="H225" s="71"/>
      <c r="I225" s="71">
        <f t="shared" si="3"/>
        <v>100000</v>
      </c>
      <c r="J225" s="72"/>
      <c r="K225" s="73"/>
    </row>
    <row r="226" spans="1:11" s="74" customFormat="1" ht="18.75" customHeight="1" x14ac:dyDescent="0.25">
      <c r="A226" s="70">
        <v>2</v>
      </c>
      <c r="B226" s="84" t="s">
        <v>170</v>
      </c>
      <c r="C226" s="70" t="s">
        <v>38</v>
      </c>
      <c r="D226" s="68">
        <v>3000</v>
      </c>
      <c r="E226" s="69" t="s">
        <v>12</v>
      </c>
      <c r="F226" s="69" t="s">
        <v>13</v>
      </c>
      <c r="G226" s="69"/>
      <c r="H226" s="71"/>
      <c r="I226" s="71">
        <f t="shared" si="3"/>
        <v>3000</v>
      </c>
      <c r="J226" s="72"/>
      <c r="K226" s="73"/>
    </row>
    <row r="227" spans="1:11" s="74" customFormat="1" ht="18" customHeight="1" x14ac:dyDescent="0.25">
      <c r="A227" s="70">
        <v>3</v>
      </c>
      <c r="B227" s="84" t="s">
        <v>150</v>
      </c>
      <c r="C227" s="70" t="s">
        <v>151</v>
      </c>
      <c r="D227" s="68">
        <v>20000</v>
      </c>
      <c r="E227" s="69" t="s">
        <v>37</v>
      </c>
      <c r="F227" s="69" t="s">
        <v>13</v>
      </c>
      <c r="G227" s="69"/>
      <c r="H227" s="71"/>
      <c r="I227" s="71">
        <f t="shared" si="3"/>
        <v>20000</v>
      </c>
      <c r="J227" s="72"/>
      <c r="K227" s="73"/>
    </row>
    <row r="228" spans="1:11" s="74" customFormat="1" ht="18" customHeight="1" x14ac:dyDescent="0.25">
      <c r="A228" s="70">
        <v>4</v>
      </c>
      <c r="B228" s="69">
        <v>55100000</v>
      </c>
      <c r="C228" s="70" t="s">
        <v>71</v>
      </c>
      <c r="D228" s="68">
        <v>10000</v>
      </c>
      <c r="E228" s="69" t="s">
        <v>37</v>
      </c>
      <c r="F228" s="69" t="s">
        <v>13</v>
      </c>
      <c r="G228" s="69"/>
      <c r="H228" s="71"/>
      <c r="I228" s="71">
        <f t="shared" si="3"/>
        <v>10000</v>
      </c>
      <c r="J228" s="72"/>
      <c r="K228" s="73"/>
    </row>
    <row r="229" spans="1:11" s="74" customFormat="1" ht="27" customHeight="1" x14ac:dyDescent="0.25">
      <c r="A229" s="70">
        <v>5</v>
      </c>
      <c r="B229" s="69">
        <v>55300000</v>
      </c>
      <c r="C229" s="70" t="s">
        <v>72</v>
      </c>
      <c r="D229" s="68">
        <v>10000</v>
      </c>
      <c r="E229" s="69" t="s">
        <v>37</v>
      </c>
      <c r="F229" s="69" t="s">
        <v>13</v>
      </c>
      <c r="G229" s="69"/>
      <c r="H229" s="71"/>
      <c r="I229" s="71">
        <f t="shared" si="3"/>
        <v>10000</v>
      </c>
      <c r="J229" s="72"/>
      <c r="K229" s="73"/>
    </row>
    <row r="230" spans="1:11" s="74" customFormat="1" ht="31.5" customHeight="1" x14ac:dyDescent="0.25">
      <c r="A230" s="70">
        <v>6</v>
      </c>
      <c r="B230" s="84" t="s">
        <v>108</v>
      </c>
      <c r="C230" s="70" t="s">
        <v>109</v>
      </c>
      <c r="D230" s="68">
        <f>84180-1980</f>
        <v>82200</v>
      </c>
      <c r="E230" s="69" t="s">
        <v>37</v>
      </c>
      <c r="F230" s="69" t="s">
        <v>13</v>
      </c>
      <c r="G230" s="69"/>
      <c r="H230" s="71"/>
      <c r="I230" s="71">
        <f t="shared" si="3"/>
        <v>82200</v>
      </c>
      <c r="J230" s="72"/>
      <c r="K230" s="73"/>
    </row>
    <row r="231" spans="1:11" s="74" customFormat="1" ht="18" customHeight="1" x14ac:dyDescent="0.25">
      <c r="A231" s="70">
        <v>7</v>
      </c>
      <c r="B231" s="84">
        <v>60400000</v>
      </c>
      <c r="C231" s="69" t="s">
        <v>110</v>
      </c>
      <c r="D231" s="68">
        <v>20000</v>
      </c>
      <c r="E231" s="69" t="s">
        <v>37</v>
      </c>
      <c r="F231" s="69" t="s">
        <v>13</v>
      </c>
      <c r="G231" s="69"/>
      <c r="H231" s="71"/>
      <c r="I231" s="71">
        <f t="shared" si="3"/>
        <v>20000</v>
      </c>
      <c r="J231" s="72"/>
      <c r="K231" s="73"/>
    </row>
    <row r="232" spans="1:11" s="74" customFormat="1" ht="22.5" customHeight="1" x14ac:dyDescent="0.25">
      <c r="A232" s="70">
        <v>8</v>
      </c>
      <c r="B232" s="69">
        <v>79800000</v>
      </c>
      <c r="C232" s="70" t="s">
        <v>60</v>
      </c>
      <c r="D232" s="68">
        <v>10000</v>
      </c>
      <c r="E232" s="69" t="s">
        <v>37</v>
      </c>
      <c r="F232" s="69" t="s">
        <v>13</v>
      </c>
      <c r="G232" s="69"/>
      <c r="H232" s="71"/>
      <c r="I232" s="71">
        <f t="shared" si="3"/>
        <v>10000</v>
      </c>
      <c r="J232" s="72"/>
      <c r="K232" s="73"/>
    </row>
    <row r="233" spans="1:11" s="74" customFormat="1" ht="22.5" customHeight="1" x14ac:dyDescent="0.25">
      <c r="A233" s="70">
        <v>9</v>
      </c>
      <c r="B233" s="69">
        <v>79900000</v>
      </c>
      <c r="C233" s="70" t="s">
        <v>103</v>
      </c>
      <c r="D233" s="68">
        <v>19850</v>
      </c>
      <c r="E233" s="69" t="s">
        <v>12</v>
      </c>
      <c r="F233" s="69" t="s">
        <v>218</v>
      </c>
      <c r="G233" s="69" t="s">
        <v>219</v>
      </c>
      <c r="H233" s="71">
        <v>19850</v>
      </c>
      <c r="I233" s="71">
        <f t="shared" si="3"/>
        <v>0</v>
      </c>
      <c r="J233" s="72">
        <v>119</v>
      </c>
      <c r="K233" s="73"/>
    </row>
    <row r="234" spans="1:11" s="74" customFormat="1" ht="30.75" customHeight="1" x14ac:dyDescent="0.25">
      <c r="A234" s="70">
        <v>10</v>
      </c>
      <c r="B234" s="69">
        <v>79900000</v>
      </c>
      <c r="C234" s="70" t="s">
        <v>103</v>
      </c>
      <c r="D234" s="68">
        <f>980000+80100</f>
        <v>1060100</v>
      </c>
      <c r="E234" s="69" t="s">
        <v>37</v>
      </c>
      <c r="F234" s="69" t="s">
        <v>13</v>
      </c>
      <c r="G234" s="69"/>
      <c r="H234" s="71">
        <f>36800+11800+8030+17570+8040+12555+9660+30333+22000+7490+8320+37125+19481+24001</f>
        <v>253205</v>
      </c>
      <c r="I234" s="71">
        <f t="shared" si="3"/>
        <v>806895</v>
      </c>
      <c r="J234" s="72" t="s">
        <v>242</v>
      </c>
      <c r="K234" s="73"/>
    </row>
    <row r="235" spans="1:11" s="74" customFormat="1" ht="30.75" customHeight="1" x14ac:dyDescent="0.25">
      <c r="A235" s="70">
        <v>11</v>
      </c>
      <c r="B235" s="69">
        <v>80500000</v>
      </c>
      <c r="C235" s="70" t="s">
        <v>112</v>
      </c>
      <c r="D235" s="68">
        <v>5000</v>
      </c>
      <c r="E235" s="69" t="s">
        <v>37</v>
      </c>
      <c r="F235" s="69" t="s">
        <v>13</v>
      </c>
      <c r="G235" s="69"/>
      <c r="H235" s="71"/>
      <c r="I235" s="71">
        <f t="shared" si="3"/>
        <v>5000</v>
      </c>
      <c r="J235" s="72"/>
      <c r="K235" s="73"/>
    </row>
    <row r="236" spans="1:11" s="74" customFormat="1" ht="18.75" customHeight="1" x14ac:dyDescent="0.25">
      <c r="A236" s="70">
        <v>12</v>
      </c>
      <c r="B236" s="69">
        <v>92100000</v>
      </c>
      <c r="C236" s="70" t="s">
        <v>111</v>
      </c>
      <c r="D236" s="68">
        <f>100000-19850-80100</f>
        <v>50</v>
      </c>
      <c r="E236" s="69" t="s">
        <v>37</v>
      </c>
      <c r="F236" s="69" t="s">
        <v>13</v>
      </c>
      <c r="G236" s="69"/>
      <c r="H236" s="71"/>
      <c r="I236" s="71">
        <f t="shared" si="3"/>
        <v>50</v>
      </c>
      <c r="J236" s="72"/>
      <c r="K236" s="73"/>
    </row>
    <row r="237" spans="1:11" s="74" customFormat="1" ht="27.75" customHeight="1" x14ac:dyDescent="0.25">
      <c r="A237" s="92" t="s">
        <v>164</v>
      </c>
      <c r="B237" s="81"/>
      <c r="C237" s="82"/>
      <c r="D237" s="83">
        <f>D238+D239+D240</f>
        <v>40000</v>
      </c>
      <c r="E237" s="69"/>
      <c r="F237" s="69"/>
      <c r="G237" s="69"/>
      <c r="H237" s="71"/>
      <c r="I237" s="71"/>
      <c r="J237" s="72"/>
      <c r="K237" s="73"/>
    </row>
    <row r="238" spans="1:11" s="74" customFormat="1" ht="27.75" customHeight="1" x14ac:dyDescent="0.25">
      <c r="A238" s="70">
        <v>1</v>
      </c>
      <c r="B238" s="69" t="s">
        <v>170</v>
      </c>
      <c r="C238" s="69" t="s">
        <v>38</v>
      </c>
      <c r="D238" s="68">
        <v>3000</v>
      </c>
      <c r="E238" s="69" t="s">
        <v>12</v>
      </c>
      <c r="F238" s="69" t="s">
        <v>13</v>
      </c>
      <c r="G238" s="69"/>
      <c r="H238" s="71"/>
      <c r="I238" s="71">
        <f t="shared" si="3"/>
        <v>3000</v>
      </c>
      <c r="J238" s="72"/>
      <c r="K238" s="73"/>
    </row>
    <row r="239" spans="1:11" s="74" customFormat="1" ht="22.5" customHeight="1" x14ac:dyDescent="0.25">
      <c r="A239" s="70">
        <v>2</v>
      </c>
      <c r="B239" s="69">
        <v>79800000</v>
      </c>
      <c r="C239" s="70" t="s">
        <v>60</v>
      </c>
      <c r="D239" s="68">
        <v>35000</v>
      </c>
      <c r="E239" s="69" t="s">
        <v>37</v>
      </c>
      <c r="F239" s="69" t="s">
        <v>13</v>
      </c>
      <c r="G239" s="69"/>
      <c r="H239" s="71">
        <v>0</v>
      </c>
      <c r="I239" s="71">
        <f t="shared" si="3"/>
        <v>35000</v>
      </c>
      <c r="J239" s="72">
        <v>83</v>
      </c>
      <c r="K239" s="73" t="s">
        <v>211</v>
      </c>
    </row>
    <row r="240" spans="1:11" s="74" customFormat="1" ht="24" x14ac:dyDescent="0.25">
      <c r="A240" s="70">
        <v>3</v>
      </c>
      <c r="B240" s="69">
        <v>79900000</v>
      </c>
      <c r="C240" s="70" t="s">
        <v>103</v>
      </c>
      <c r="D240" s="68">
        <v>2000</v>
      </c>
      <c r="E240" s="69" t="s">
        <v>37</v>
      </c>
      <c r="F240" s="69" t="s">
        <v>13</v>
      </c>
      <c r="G240" s="69"/>
      <c r="H240" s="71"/>
      <c r="I240" s="71">
        <f t="shared" si="3"/>
        <v>2000</v>
      </c>
      <c r="J240" s="72"/>
      <c r="K240" s="73"/>
    </row>
    <row r="241" spans="1:11" s="74" customFormat="1" ht="39.75" customHeight="1" x14ac:dyDescent="0.25">
      <c r="A241" s="92" t="s">
        <v>159</v>
      </c>
      <c r="B241" s="98"/>
      <c r="C241" s="99"/>
      <c r="D241" s="83">
        <f>D242+D243+D244+D245+D246+D247+D248+D249+D250+D251+D252</f>
        <v>704500</v>
      </c>
      <c r="E241" s="69"/>
      <c r="F241" s="69"/>
      <c r="G241" s="70"/>
      <c r="H241" s="79"/>
      <c r="I241" s="71"/>
      <c r="J241" s="72"/>
      <c r="K241" s="73"/>
    </row>
    <row r="242" spans="1:11" s="74" customFormat="1" ht="21" customHeight="1" x14ac:dyDescent="0.25">
      <c r="A242" s="70">
        <v>1</v>
      </c>
      <c r="B242" s="69">
        <v>18400000</v>
      </c>
      <c r="C242" s="70" t="s">
        <v>113</v>
      </c>
      <c r="D242" s="68">
        <f>150000+10000</f>
        <v>160000</v>
      </c>
      <c r="E242" s="69" t="s">
        <v>37</v>
      </c>
      <c r="F242" s="69" t="s">
        <v>13</v>
      </c>
      <c r="G242" s="70"/>
      <c r="H242" s="79">
        <f>8700+55220+94800</f>
        <v>158720</v>
      </c>
      <c r="I242" s="71">
        <f t="shared" si="3"/>
        <v>1280</v>
      </c>
      <c r="J242" s="72" t="s">
        <v>256</v>
      </c>
      <c r="K242" s="73"/>
    </row>
    <row r="243" spans="1:11" s="74" customFormat="1" ht="31.5" customHeight="1" x14ac:dyDescent="0.25">
      <c r="A243" s="70">
        <v>2</v>
      </c>
      <c r="B243" s="70">
        <v>22400000</v>
      </c>
      <c r="C243" s="70" t="s">
        <v>19</v>
      </c>
      <c r="D243" s="68">
        <v>1000</v>
      </c>
      <c r="E243" s="69" t="s">
        <v>37</v>
      </c>
      <c r="F243" s="69" t="s">
        <v>13</v>
      </c>
      <c r="G243" s="70"/>
      <c r="H243" s="79"/>
      <c r="I243" s="71">
        <f t="shared" si="3"/>
        <v>1000</v>
      </c>
      <c r="J243" s="72"/>
      <c r="K243" s="73"/>
    </row>
    <row r="244" spans="1:11" s="74" customFormat="1" x14ac:dyDescent="0.25">
      <c r="A244" s="70">
        <v>3</v>
      </c>
      <c r="B244" s="70">
        <v>37300000</v>
      </c>
      <c r="C244" s="70" t="s">
        <v>132</v>
      </c>
      <c r="D244" s="68">
        <f>20000+6000</f>
        <v>26000</v>
      </c>
      <c r="E244" s="69" t="s">
        <v>37</v>
      </c>
      <c r="F244" s="69" t="s">
        <v>13</v>
      </c>
      <c r="G244" s="70"/>
      <c r="H244" s="79">
        <v>26000</v>
      </c>
      <c r="I244" s="71">
        <f t="shared" si="3"/>
        <v>0</v>
      </c>
      <c r="J244" s="72">
        <v>104</v>
      </c>
      <c r="K244" s="73"/>
    </row>
    <row r="245" spans="1:11" s="74" customFormat="1" x14ac:dyDescent="0.25">
      <c r="A245" s="70">
        <v>4</v>
      </c>
      <c r="B245" s="70">
        <v>55100000</v>
      </c>
      <c r="C245" s="70" t="s">
        <v>71</v>
      </c>
      <c r="D245" s="68">
        <f>50000-20000-10000</f>
        <v>20000</v>
      </c>
      <c r="E245" s="69" t="s">
        <v>37</v>
      </c>
      <c r="F245" s="69" t="s">
        <v>13</v>
      </c>
      <c r="G245" s="70"/>
      <c r="H245" s="79">
        <f>13820</f>
        <v>13820</v>
      </c>
      <c r="I245" s="71">
        <f t="shared" si="3"/>
        <v>6180</v>
      </c>
      <c r="J245" s="72" t="s">
        <v>224</v>
      </c>
      <c r="K245" s="73"/>
    </row>
    <row r="246" spans="1:11" s="74" customFormat="1" ht="24" x14ac:dyDescent="0.25">
      <c r="A246" s="70">
        <v>5</v>
      </c>
      <c r="B246" s="70">
        <v>55300000</v>
      </c>
      <c r="C246" s="70" t="s">
        <v>72</v>
      </c>
      <c r="D246" s="68">
        <v>3000</v>
      </c>
      <c r="E246" s="69" t="s">
        <v>37</v>
      </c>
      <c r="F246" s="69" t="s">
        <v>13</v>
      </c>
      <c r="G246" s="70"/>
      <c r="H246" s="79"/>
      <c r="I246" s="71">
        <f t="shared" si="3"/>
        <v>3000</v>
      </c>
      <c r="J246" s="72"/>
      <c r="K246" s="73"/>
    </row>
    <row r="247" spans="1:11" s="74" customFormat="1" ht="20.25" customHeight="1" x14ac:dyDescent="0.25">
      <c r="A247" s="70">
        <v>6</v>
      </c>
      <c r="B247" s="69">
        <v>60100000</v>
      </c>
      <c r="C247" s="70" t="s">
        <v>109</v>
      </c>
      <c r="D247" s="68">
        <f>(50000-6000-20000)+13000</f>
        <v>37000</v>
      </c>
      <c r="E247" s="69" t="s">
        <v>37</v>
      </c>
      <c r="F247" s="69" t="s">
        <v>13</v>
      </c>
      <c r="G247" s="70"/>
      <c r="H247" s="79">
        <f>14000+9800+12800</f>
        <v>36600</v>
      </c>
      <c r="I247" s="71">
        <f t="shared" si="3"/>
        <v>400</v>
      </c>
      <c r="J247" s="72" t="s">
        <v>239</v>
      </c>
      <c r="K247" s="73"/>
    </row>
    <row r="248" spans="1:11" s="74" customFormat="1" ht="20.25" customHeight="1" x14ac:dyDescent="0.25">
      <c r="A248" s="70">
        <v>7</v>
      </c>
      <c r="B248" s="69">
        <v>60400000</v>
      </c>
      <c r="C248" s="70" t="s">
        <v>110</v>
      </c>
      <c r="D248" s="68">
        <f>5000-1000</f>
        <v>4000</v>
      </c>
      <c r="E248" s="69" t="s">
        <v>37</v>
      </c>
      <c r="F248" s="69" t="s">
        <v>13</v>
      </c>
      <c r="G248" s="70"/>
      <c r="H248" s="79"/>
      <c r="I248" s="71">
        <f t="shared" si="3"/>
        <v>4000</v>
      </c>
      <c r="J248" s="72"/>
      <c r="K248" s="73"/>
    </row>
    <row r="249" spans="1:11" s="74" customFormat="1" ht="20.25" customHeight="1" x14ac:dyDescent="0.25">
      <c r="A249" s="70">
        <v>8</v>
      </c>
      <c r="B249" s="69">
        <v>79800000</v>
      </c>
      <c r="C249" s="70" t="s">
        <v>60</v>
      </c>
      <c r="D249" s="68">
        <f>4000-2000</f>
        <v>2000</v>
      </c>
      <c r="E249" s="69" t="s">
        <v>37</v>
      </c>
      <c r="F249" s="69" t="s">
        <v>13</v>
      </c>
      <c r="G249" s="70"/>
      <c r="H249" s="79"/>
      <c r="I249" s="71">
        <f t="shared" si="3"/>
        <v>2000</v>
      </c>
      <c r="J249" s="72"/>
      <c r="K249" s="73"/>
    </row>
    <row r="250" spans="1:11" s="74" customFormat="1" ht="30.75" customHeight="1" x14ac:dyDescent="0.25">
      <c r="A250" s="70">
        <v>9</v>
      </c>
      <c r="B250" s="69">
        <v>79900000</v>
      </c>
      <c r="C250" s="70" t="s">
        <v>103</v>
      </c>
      <c r="D250" s="68">
        <f>61110+20000+20000+10000</f>
        <v>111110</v>
      </c>
      <c r="E250" s="69" t="s">
        <v>12</v>
      </c>
      <c r="F250" s="69" t="s">
        <v>218</v>
      </c>
      <c r="G250" s="69" t="s">
        <v>219</v>
      </c>
      <c r="H250" s="71">
        <v>111110</v>
      </c>
      <c r="I250" s="71">
        <f>D250-H250</f>
        <v>0</v>
      </c>
      <c r="J250" s="72">
        <v>139</v>
      </c>
      <c r="K250" s="73"/>
    </row>
    <row r="251" spans="1:11" s="74" customFormat="1" ht="25.5" customHeight="1" x14ac:dyDescent="0.25">
      <c r="A251" s="70">
        <v>10</v>
      </c>
      <c r="B251" s="69">
        <v>79900000</v>
      </c>
      <c r="C251" s="70" t="s">
        <v>103</v>
      </c>
      <c r="D251" s="68">
        <v>323390</v>
      </c>
      <c r="E251" s="69" t="s">
        <v>37</v>
      </c>
      <c r="F251" s="69" t="s">
        <v>13</v>
      </c>
      <c r="G251" s="70"/>
      <c r="H251" s="79">
        <f>4495+41144+8644+6750+7777+38178</f>
        <v>106988</v>
      </c>
      <c r="I251" s="75">
        <f t="shared" si="3"/>
        <v>216402</v>
      </c>
      <c r="J251" s="72" t="s">
        <v>255</v>
      </c>
      <c r="K251" s="73"/>
    </row>
    <row r="252" spans="1:11" s="74" customFormat="1" ht="22.5" customHeight="1" x14ac:dyDescent="0.25">
      <c r="A252" s="70">
        <v>11</v>
      </c>
      <c r="B252" s="69">
        <v>80500000</v>
      </c>
      <c r="C252" s="70" t="s">
        <v>112</v>
      </c>
      <c r="D252" s="68">
        <v>17000</v>
      </c>
      <c r="E252" s="69" t="s">
        <v>37</v>
      </c>
      <c r="F252" s="69" t="s">
        <v>13</v>
      </c>
      <c r="G252" s="77"/>
      <c r="H252" s="79">
        <v>16690</v>
      </c>
      <c r="I252" s="69">
        <f t="shared" si="3"/>
        <v>310</v>
      </c>
      <c r="J252" s="72">
        <v>39</v>
      </c>
      <c r="K252" s="73"/>
    </row>
    <row r="253" spans="1:11" s="74" customFormat="1" ht="31.5" customHeight="1" x14ac:dyDescent="0.25">
      <c r="A253" s="92" t="s">
        <v>114</v>
      </c>
      <c r="B253" s="81"/>
      <c r="C253" s="82"/>
      <c r="D253" s="83">
        <f>SUM(D254:D260)</f>
        <v>360000</v>
      </c>
      <c r="E253" s="69"/>
      <c r="F253" s="69"/>
      <c r="G253" s="69"/>
      <c r="H253" s="71"/>
      <c r="I253" s="71"/>
      <c r="J253" s="72"/>
      <c r="K253" s="73"/>
    </row>
    <row r="254" spans="1:11" s="74" customFormat="1" ht="38.25" customHeight="1" x14ac:dyDescent="0.25">
      <c r="A254" s="70">
        <v>1</v>
      </c>
      <c r="B254" s="70">
        <v>22400000</v>
      </c>
      <c r="C254" s="70" t="s">
        <v>19</v>
      </c>
      <c r="D254" s="68">
        <v>5000</v>
      </c>
      <c r="E254" s="69" t="s">
        <v>37</v>
      </c>
      <c r="F254" s="69" t="s">
        <v>13</v>
      </c>
      <c r="G254" s="70"/>
      <c r="H254" s="79"/>
      <c r="I254" s="71">
        <f t="shared" si="3"/>
        <v>5000</v>
      </c>
      <c r="J254" s="72"/>
      <c r="K254" s="73"/>
    </row>
    <row r="255" spans="1:11" ht="21" customHeight="1" x14ac:dyDescent="0.25">
      <c r="A255" s="14">
        <v>2</v>
      </c>
      <c r="B255" s="14">
        <v>55100000</v>
      </c>
      <c r="C255" s="14" t="s">
        <v>71</v>
      </c>
      <c r="D255" s="15">
        <v>50000</v>
      </c>
      <c r="E255" s="13" t="s">
        <v>37</v>
      </c>
      <c r="F255" s="13" t="s">
        <v>13</v>
      </c>
      <c r="G255" s="14"/>
      <c r="H255" s="7">
        <v>1250</v>
      </c>
      <c r="I255" s="2">
        <f t="shared" si="3"/>
        <v>48750</v>
      </c>
      <c r="J255" s="8">
        <v>87</v>
      </c>
      <c r="K255" s="4"/>
    </row>
    <row r="256" spans="1:11" ht="27.75" customHeight="1" x14ac:dyDescent="0.25">
      <c r="A256" s="14">
        <v>3</v>
      </c>
      <c r="B256" s="14">
        <v>55300000</v>
      </c>
      <c r="C256" s="14" t="s">
        <v>72</v>
      </c>
      <c r="D256" s="15">
        <v>5000</v>
      </c>
      <c r="E256" s="13" t="s">
        <v>37</v>
      </c>
      <c r="F256" s="13" t="s">
        <v>13</v>
      </c>
      <c r="G256" s="14"/>
      <c r="H256" s="7"/>
      <c r="I256" s="2">
        <f t="shared" si="3"/>
        <v>5000</v>
      </c>
      <c r="J256" s="8"/>
      <c r="K256" s="4"/>
    </row>
    <row r="257" spans="1:11" x14ac:dyDescent="0.25">
      <c r="A257" s="14">
        <v>4</v>
      </c>
      <c r="B257" s="13">
        <v>60100000</v>
      </c>
      <c r="C257" s="14" t="s">
        <v>109</v>
      </c>
      <c r="D257" s="15">
        <v>50000</v>
      </c>
      <c r="E257" s="13" t="s">
        <v>37</v>
      </c>
      <c r="F257" s="13" t="s">
        <v>13</v>
      </c>
      <c r="G257" s="14"/>
      <c r="H257" s="7"/>
      <c r="I257" s="2">
        <f t="shared" si="3"/>
        <v>50000</v>
      </c>
      <c r="J257" s="8"/>
      <c r="K257" s="4"/>
    </row>
    <row r="258" spans="1:11" x14ac:dyDescent="0.25">
      <c r="A258" s="14">
        <v>5</v>
      </c>
      <c r="B258" s="31">
        <v>60400000</v>
      </c>
      <c r="C258" s="13" t="s">
        <v>110</v>
      </c>
      <c r="D258" s="15">
        <v>85000</v>
      </c>
      <c r="E258" s="13" t="s">
        <v>37</v>
      </c>
      <c r="F258" s="13" t="s">
        <v>13</v>
      </c>
      <c r="G258" s="14"/>
      <c r="H258" s="7">
        <f>4872+3400+9898+5900</f>
        <v>24070</v>
      </c>
      <c r="I258" s="2">
        <f t="shared" si="3"/>
        <v>60930</v>
      </c>
      <c r="J258" s="8" t="s">
        <v>240</v>
      </c>
      <c r="K258" s="4"/>
    </row>
    <row r="259" spans="1:11" customFormat="1" ht="24" x14ac:dyDescent="0.25">
      <c r="A259" s="35">
        <v>6</v>
      </c>
      <c r="B259" s="36">
        <v>79900000</v>
      </c>
      <c r="C259" s="35" t="s">
        <v>103</v>
      </c>
      <c r="D259" s="33">
        <f>(135000+15000+5000+20000)-30000+10000</f>
        <v>155000</v>
      </c>
      <c r="E259" s="36" t="s">
        <v>37</v>
      </c>
      <c r="F259" s="36" t="s">
        <v>13</v>
      </c>
      <c r="G259" s="35"/>
      <c r="H259" s="37">
        <f>3000</f>
        <v>3000</v>
      </c>
      <c r="I259" s="32">
        <f t="shared" si="3"/>
        <v>152000</v>
      </c>
      <c r="J259" s="38">
        <v>148</v>
      </c>
      <c r="K259" s="39"/>
    </row>
    <row r="260" spans="1:11" x14ac:dyDescent="0.25">
      <c r="A260" s="14">
        <v>7</v>
      </c>
      <c r="B260" s="13">
        <v>80500000</v>
      </c>
      <c r="C260" s="14" t="s">
        <v>112</v>
      </c>
      <c r="D260" s="15">
        <v>10000</v>
      </c>
      <c r="E260" s="13" t="s">
        <v>37</v>
      </c>
      <c r="F260" s="13" t="s">
        <v>13</v>
      </c>
      <c r="G260" s="14"/>
      <c r="H260" s="7"/>
      <c r="I260" s="2">
        <f t="shared" si="3"/>
        <v>10000</v>
      </c>
      <c r="J260" s="8"/>
      <c r="K260" s="4"/>
    </row>
    <row r="261" spans="1:11" ht="31.5" customHeight="1" x14ac:dyDescent="0.25">
      <c r="A261" s="65" t="s">
        <v>142</v>
      </c>
      <c r="B261" s="66"/>
      <c r="C261" s="67"/>
      <c r="D261" s="24">
        <f>D262+D263+D264+D265</f>
        <v>2857530</v>
      </c>
      <c r="E261" s="25"/>
      <c r="F261" s="25"/>
      <c r="G261" s="25"/>
      <c r="H261" s="2"/>
      <c r="I261" s="2"/>
      <c r="J261" s="17"/>
      <c r="K261" s="4"/>
    </row>
    <row r="262" spans="1:11" s="18" customFormat="1" ht="31.5" customHeight="1" x14ac:dyDescent="0.25">
      <c r="A262" s="14">
        <v>1</v>
      </c>
      <c r="B262" s="14">
        <v>37300000</v>
      </c>
      <c r="C262" s="14" t="s">
        <v>132</v>
      </c>
      <c r="D262" s="26">
        <v>400000</v>
      </c>
      <c r="E262" s="14" t="s">
        <v>172</v>
      </c>
      <c r="F262" s="13" t="s">
        <v>13</v>
      </c>
      <c r="G262" s="14"/>
      <c r="H262" s="7"/>
      <c r="I262" s="2">
        <f t="shared" ref="I262:I265" si="4">D262-H262</f>
        <v>400000</v>
      </c>
      <c r="J262" s="7"/>
      <c r="K262" s="7"/>
    </row>
    <row r="263" spans="1:11" customFormat="1" ht="39" customHeight="1" x14ac:dyDescent="0.25">
      <c r="A263" s="35">
        <v>2</v>
      </c>
      <c r="B263" s="36">
        <v>45200000</v>
      </c>
      <c r="C263" s="35" t="s">
        <v>95</v>
      </c>
      <c r="D263" s="33">
        <f>3077530-1220000</f>
        <v>1857530</v>
      </c>
      <c r="E263" s="36" t="s">
        <v>37</v>
      </c>
      <c r="F263" s="36" t="s">
        <v>13</v>
      </c>
      <c r="G263" s="36"/>
      <c r="H263" s="32"/>
      <c r="I263" s="32">
        <f t="shared" si="4"/>
        <v>1857530</v>
      </c>
      <c r="J263" s="40"/>
      <c r="K263" s="39"/>
    </row>
    <row r="264" spans="1:11" ht="39" customHeight="1" x14ac:dyDescent="0.25">
      <c r="A264" s="14">
        <v>3</v>
      </c>
      <c r="B264" s="13">
        <v>45400000</v>
      </c>
      <c r="C264" s="14" t="s">
        <v>92</v>
      </c>
      <c r="D264" s="15">
        <v>300000</v>
      </c>
      <c r="E264" s="13" t="s">
        <v>37</v>
      </c>
      <c r="F264" s="13" t="s">
        <v>13</v>
      </c>
      <c r="G264" s="13"/>
      <c r="H264" s="2"/>
      <c r="I264" s="2">
        <f t="shared" si="4"/>
        <v>300000</v>
      </c>
      <c r="J264" s="8"/>
      <c r="K264" s="4"/>
    </row>
    <row r="265" spans="1:11" ht="39" customHeight="1" x14ac:dyDescent="0.25">
      <c r="A265" s="14">
        <v>4</v>
      </c>
      <c r="B265" s="13">
        <v>71200000</v>
      </c>
      <c r="C265" s="14" t="s">
        <v>96</v>
      </c>
      <c r="D265" s="15">
        <v>300000</v>
      </c>
      <c r="E265" s="13" t="s">
        <v>37</v>
      </c>
      <c r="F265" s="13" t="s">
        <v>13</v>
      </c>
      <c r="G265" s="13"/>
      <c r="H265" s="2"/>
      <c r="I265" s="2">
        <f t="shared" si="4"/>
        <v>300000</v>
      </c>
      <c r="J265" s="8"/>
      <c r="K265" s="4"/>
    </row>
    <row r="266" spans="1:11" ht="19.5" customHeight="1" x14ac:dyDescent="0.25">
      <c r="A266" s="27"/>
      <c r="B266" s="28"/>
      <c r="C266" s="27"/>
      <c r="D266" s="29"/>
      <c r="E266" s="30"/>
      <c r="F266" s="30"/>
      <c r="G266" s="27"/>
      <c r="H266" s="18"/>
      <c r="I266" s="19"/>
    </row>
    <row r="267" spans="1:11" ht="21.75" customHeight="1" x14ac:dyDescent="0.25">
      <c r="A267" s="20"/>
      <c r="B267" s="19"/>
      <c r="C267" s="3"/>
      <c r="H267" s="5"/>
      <c r="I267" s="5"/>
      <c r="J267" s="5"/>
    </row>
    <row r="268" spans="1:11" ht="57.75" customHeight="1" x14ac:dyDescent="0.25">
      <c r="A268" s="20"/>
      <c r="B268" s="19"/>
      <c r="C268" s="3"/>
      <c r="H268" s="5"/>
      <c r="I268" s="5"/>
      <c r="J268" s="5"/>
    </row>
    <row r="269" spans="1:11" ht="18.75" customHeight="1" x14ac:dyDescent="0.25">
      <c r="B269" s="21"/>
      <c r="C269" s="21"/>
      <c r="D269" s="21"/>
      <c r="E269" s="21"/>
      <c r="F269" s="21"/>
      <c r="G269" s="20"/>
      <c r="I269" s="19"/>
    </row>
    <row r="270" spans="1:11" x14ac:dyDescent="0.25">
      <c r="I270" s="19"/>
    </row>
  </sheetData>
  <mergeCells count="35">
    <mergeCell ref="A241:C241"/>
    <mergeCell ref="A253:C253"/>
    <mergeCell ref="A261:C261"/>
    <mergeCell ref="A194:C194"/>
    <mergeCell ref="A195:C195"/>
    <mergeCell ref="A223:C223"/>
    <mergeCell ref="A224:C224"/>
    <mergeCell ref="A237:C237"/>
    <mergeCell ref="A212:C212"/>
    <mergeCell ref="A206:C206"/>
    <mergeCell ref="A219:C219"/>
    <mergeCell ref="A207:C207"/>
    <mergeCell ref="A215:C215"/>
    <mergeCell ref="A203:C203"/>
    <mergeCell ref="A80:C80"/>
    <mergeCell ref="A105:C105"/>
    <mergeCell ref="A129:C129"/>
    <mergeCell ref="A140:C140"/>
    <mergeCell ref="A143:C143"/>
    <mergeCell ref="A149:C149"/>
    <mergeCell ref="A150:C150"/>
    <mergeCell ref="A168:C168"/>
    <mergeCell ref="A100:C100"/>
    <mergeCell ref="A190:C190"/>
    <mergeCell ref="A10:C10"/>
    <mergeCell ref="A1:G1"/>
    <mergeCell ref="A2:D2"/>
    <mergeCell ref="E2:G2"/>
    <mergeCell ref="A3:D3"/>
    <mergeCell ref="E3:G3"/>
    <mergeCell ref="A4:G4"/>
    <mergeCell ref="A5:D5"/>
    <mergeCell ref="E5:G5"/>
    <mergeCell ref="A6:G6"/>
    <mergeCell ref="A9:C9"/>
  </mergeCells>
  <pageMargins left="0.70866141732283505" right="0.70866141732283505" top="0.74803149606299202" bottom="0.74803149606299202" header="0.31496062992126" footer="0.31496062992126"/>
  <pageSetup paperSize="9" scale="89" orientation="landscape" r:id="rId1"/>
  <rowBreaks count="7" manualBreakCount="7">
    <brk id="39" max="16383" man="1"/>
    <brk id="60" max="16383" man="1"/>
    <brk id="125" max="16383" man="1"/>
    <brk id="148" max="16383" man="1"/>
    <brk id="189" max="16383" man="1"/>
    <brk id="214" max="16383" man="1"/>
    <brk id="2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2024-10-10T11:59:14Z</dcterms:modified>
</cp:coreProperties>
</file>